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075" windowHeight="9615" activeTab="0"/>
  </bookViews>
  <sheets>
    <sheet name="機長養成・限定変更_試算" sheetId="1" r:id="rId1"/>
    <sheet name="ﾊﾟｲﾛｯﾄ養成費用_試算" sheetId="2" r:id="rId2"/>
    <sheet name="機材関連費用_まとめ" sheetId="3" r:id="rId3"/>
    <sheet name="機種固定費" sheetId="4" r:id="rId4"/>
    <sheet name="着陸料・航行援助施設利用料・駐機料" sheetId="5" r:id="rId5"/>
    <sheet name="人件費・その他経費" sheetId="6" r:id="rId6"/>
    <sheet name="整備費想定" sheetId="7" r:id="rId7"/>
    <sheet name="燃費費想定" sheetId="8" r:id="rId8"/>
    <sheet name="機体諸元" sheetId="9" r:id="rId9"/>
    <sheet name="諸元" sheetId="10" r:id="rId10"/>
  </sheets>
  <definedNames>
    <definedName name="_xlnm.Print_Area" localSheetId="1">'ﾊﾟｲﾛｯﾄ養成費用_試算'!$A$2:$M$28</definedName>
    <definedName name="_xlnm.Print_Area" localSheetId="2">'機材関連費用_まとめ'!$B$6:$Q$35</definedName>
    <definedName name="_xlnm.Print_Area" localSheetId="3">'機種固定費'!$B$3:$K$25</definedName>
    <definedName name="_xlnm.Print_Area" localSheetId="8">'機体諸元'!$B$2:$H$20</definedName>
    <definedName name="_xlnm.Print_Area" localSheetId="0">'機長養成・限定変更_試算'!$B$1:$N$32</definedName>
    <definedName name="_xlnm.Print_Area" localSheetId="9">'諸元'!$A$5:$H$20</definedName>
    <definedName name="_xlnm.Print_Area" localSheetId="5">'人件費・その他経費'!$A$1:$I$18</definedName>
    <definedName name="_xlnm.Print_Area" localSheetId="6">'整備費想定'!$A$2:$H$27</definedName>
    <definedName name="_xlnm.Print_Area" localSheetId="4">'着陸料・航行援助施設利用料・駐機料'!$A$1:$P$32</definedName>
    <definedName name="_xlnm.Print_Area" localSheetId="7">'燃費費想定'!$A$2:$N$15</definedName>
  </definedNames>
  <calcPr fullCalcOnLoad="1"/>
</workbook>
</file>

<file path=xl/sharedStrings.xml><?xml version="1.0" encoding="utf-8"?>
<sst xmlns="http://schemas.openxmlformats.org/spreadsheetml/2006/main" count="474" uniqueCount="190">
  <si>
    <t>使用機種</t>
  </si>
  <si>
    <t>償却方法</t>
  </si>
  <si>
    <t>前提</t>
  </si>
  <si>
    <t>定額償却</t>
  </si>
  <si>
    <t>減価償却費</t>
  </si>
  <si>
    <t>年間機種固定費</t>
  </si>
  <si>
    <t>自家用操縦士</t>
  </si>
  <si>
    <t>定期運送用操縦士</t>
  </si>
  <si>
    <t>調達資金コスト（金利）想定</t>
  </si>
  <si>
    <t>円/1USD</t>
  </si>
  <si>
    <t>円/1EURO</t>
  </si>
  <si>
    <t>為替レート</t>
  </si>
  <si>
    <t>資金調達コスト</t>
  </si>
  <si>
    <t>セスナ 172</t>
  </si>
  <si>
    <t>Piper PA-140</t>
  </si>
  <si>
    <t>償却期間（年）_新品</t>
  </si>
  <si>
    <t>償却期間（年）_中古</t>
  </si>
  <si>
    <t>King Air C90</t>
  </si>
  <si>
    <t>機種固定費/1HR</t>
  </si>
  <si>
    <t>整備費/1HR</t>
  </si>
  <si>
    <t>円/１ﾘｯﾄﾙ</t>
  </si>
  <si>
    <t>ｹﾛｼﾝ価格</t>
  </si>
  <si>
    <t>ｶﾞｿﾘﾝ価格</t>
  </si>
  <si>
    <t>円/1ﾘｯﾄﾙ</t>
  </si>
  <si>
    <t>ガロン/1時間</t>
  </si>
  <si>
    <t>777-300</t>
  </si>
  <si>
    <t>737-800</t>
  </si>
  <si>
    <t>767-300ER</t>
  </si>
  <si>
    <t>747-400</t>
  </si>
  <si>
    <t>787-8</t>
  </si>
  <si>
    <t>実機訓練</t>
  </si>
  <si>
    <t>総費用/1HR</t>
  </si>
  <si>
    <t>燃費/１HR</t>
  </si>
  <si>
    <t>着陸料</t>
  </si>
  <si>
    <t>航行援助料</t>
  </si>
  <si>
    <t>公租公課</t>
  </si>
  <si>
    <t>飛行時間</t>
  </si>
  <si>
    <t>飛行サイクル</t>
  </si>
  <si>
    <t>訓練シラバス</t>
  </si>
  <si>
    <t>訓練機関連単位費用</t>
  </si>
  <si>
    <t>自家用操縦士</t>
  </si>
  <si>
    <t>事業用操縦士</t>
  </si>
  <si>
    <t>計器飛行証明</t>
  </si>
  <si>
    <t>定期運送用操縦士</t>
  </si>
  <si>
    <t>機種変更実機訓練</t>
  </si>
  <si>
    <t>操縦教官</t>
  </si>
  <si>
    <t>地上教官</t>
  </si>
  <si>
    <t>法定福利費</t>
  </si>
  <si>
    <t>年収（想定）</t>
  </si>
  <si>
    <t>広義の人件費</t>
  </si>
  <si>
    <t>時間当り単価</t>
  </si>
  <si>
    <t>年間稼働時間</t>
  </si>
  <si>
    <t>機種</t>
  </si>
  <si>
    <t>A36 Bonanza</t>
  </si>
  <si>
    <t>シミュレーター訓練</t>
  </si>
  <si>
    <t>事業用操縦士　　計器飛行証明取得</t>
  </si>
  <si>
    <t>合計</t>
  </si>
  <si>
    <t>その他費用</t>
  </si>
  <si>
    <t>円/EUR</t>
  </si>
  <si>
    <t>円/ｶﾅﾀﾞ・ﾄﾞﾙ</t>
  </si>
  <si>
    <t>機材・減価償却想定</t>
  </si>
  <si>
    <t>諸元</t>
  </si>
  <si>
    <t>想定</t>
  </si>
  <si>
    <t>航空機</t>
  </si>
  <si>
    <t>シミュレーター</t>
  </si>
  <si>
    <t>燃費想定</t>
  </si>
  <si>
    <t>年間整備費等　　　　　　（購入価格対比）</t>
  </si>
  <si>
    <t>保守・維持費想定/1HR</t>
  </si>
  <si>
    <t>円/１HR</t>
  </si>
  <si>
    <t>円/１C$</t>
  </si>
  <si>
    <t>CAE-5000</t>
  </si>
  <si>
    <t>CAE-5000（NB用）</t>
  </si>
  <si>
    <t>CAE 7000（WB用）</t>
  </si>
  <si>
    <t>稼働時間想定</t>
  </si>
  <si>
    <t>時間/年</t>
  </si>
  <si>
    <t>購入価格想定</t>
  </si>
  <si>
    <t>C$/1台</t>
  </si>
  <si>
    <t>円/1台</t>
  </si>
  <si>
    <t>USD/1台</t>
  </si>
  <si>
    <t>ｼﾐｭﾚｰﾀｰ訓練</t>
  </si>
  <si>
    <t>保守維持費/1HR</t>
  </si>
  <si>
    <t>単位費用</t>
  </si>
  <si>
    <t>CAE-7000</t>
  </si>
  <si>
    <t>25ﾄﾝ以下</t>
  </si>
  <si>
    <t>25～100ﾄﾝ</t>
  </si>
  <si>
    <t>200ﾄﾝ以上</t>
  </si>
  <si>
    <t>100～200ﾄﾝ</t>
  </si>
  <si>
    <t>円/１トン</t>
  </si>
  <si>
    <t>ジェット機</t>
  </si>
  <si>
    <t>騒音値</t>
  </si>
  <si>
    <t>“EPN-83”当りの単価</t>
  </si>
  <si>
    <t>6ﾄﾝ以下</t>
  </si>
  <si>
    <t>6トン以下分</t>
  </si>
  <si>
    <t>6ﾄﾝを超える分</t>
  </si>
  <si>
    <t>その他の航空機</t>
  </si>
  <si>
    <t>羽田、新千歳、稚内、釧路、函館、仙台、新潟、伊丹、広島、高松、松山、高知、福岡、</t>
  </si>
  <si>
    <t>北九州、長崎、熊本、大分、宮崎、鹿児島、那覇</t>
  </si>
  <si>
    <t>国が管理する飛行場での着陸料・駐機料</t>
  </si>
  <si>
    <t>3ﾄﾝ以下</t>
  </si>
  <si>
    <t>3～6ﾄﾝ</t>
  </si>
  <si>
    <t>6～23ﾄﾝ</t>
  </si>
  <si>
    <t>23～25ﾄﾝ</t>
  </si>
  <si>
    <t>100ﾄﾝ以上</t>
  </si>
  <si>
    <t>円/1ﾄﾝ</t>
  </si>
  <si>
    <t>円/１機</t>
  </si>
  <si>
    <t>23ﾄﾝ以下の航空機</t>
  </si>
  <si>
    <t>23ﾄﾝを超える航空機</t>
  </si>
  <si>
    <t>定額分（円）</t>
  </si>
  <si>
    <t>下限を超える分：円/1ﾄﾝ</t>
  </si>
  <si>
    <t>6ﾄﾝ超える分：円/1ﾄﾝ</t>
  </si>
  <si>
    <t>-</t>
  </si>
  <si>
    <t>着陸料/1回</t>
  </si>
  <si>
    <t>駐機料/1日</t>
  </si>
  <si>
    <t>機体重量（ﾄﾝ）</t>
  </si>
  <si>
    <t>円/1機</t>
  </si>
  <si>
    <t>６ﾄﾝを超える航空機</t>
  </si>
  <si>
    <t>円/ﾄﾝ</t>
  </si>
  <si>
    <t>騒音値-83</t>
  </si>
  <si>
    <t>機材関連</t>
  </si>
  <si>
    <t>一般管理費</t>
  </si>
  <si>
    <t>税込み</t>
  </si>
  <si>
    <t>税抜き</t>
  </si>
  <si>
    <t>福利厚生費</t>
  </si>
  <si>
    <t>：広義の人件費に占める割合</t>
  </si>
  <si>
    <t>：施設・設備、その他の間接費用全般</t>
  </si>
  <si>
    <t>操縦教官人件費（１HR当り）</t>
  </si>
  <si>
    <t>地上教官人件費（１HR当り）</t>
  </si>
  <si>
    <t>飛行関連費用</t>
  </si>
  <si>
    <t>操縦教官人件費</t>
  </si>
  <si>
    <t>使用料</t>
  </si>
  <si>
    <t>座学</t>
  </si>
  <si>
    <t>総費用</t>
  </si>
  <si>
    <t>機長養成訓練</t>
  </si>
  <si>
    <t>限定変更訓練</t>
  </si>
  <si>
    <t>自家用操縦士養成訓練</t>
  </si>
  <si>
    <t>事業用操縦士養成訓練</t>
  </si>
  <si>
    <t>計器飛行証明取得訓練</t>
  </si>
  <si>
    <t>地上教官人件費</t>
  </si>
  <si>
    <t>セスナ 172用</t>
  </si>
  <si>
    <t>King Air C90用</t>
  </si>
  <si>
    <t>ｼﾐｭﾚｰﾀｰ単位費用</t>
  </si>
  <si>
    <t>航行援助施設利用料</t>
  </si>
  <si>
    <t>国内</t>
  </si>
  <si>
    <t>飛行距離</t>
  </si>
  <si>
    <t>～400km</t>
  </si>
  <si>
    <t>800km～</t>
  </si>
  <si>
    <t>～800km</t>
  </si>
  <si>
    <t>外国から</t>
  </si>
  <si>
    <t>機体重量</t>
  </si>
  <si>
    <t>100ﾄﾝ未満</t>
  </si>
  <si>
    <t>同一空港での離発着</t>
  </si>
  <si>
    <t>1ﾄﾝ当り</t>
  </si>
  <si>
    <t>総額</t>
  </si>
  <si>
    <t>15ﾄﾝ未満の航空機</t>
  </si>
  <si>
    <t>15ﾄﾝ以上の航空機</t>
  </si>
  <si>
    <t>着陸1回当りの料金</t>
  </si>
  <si>
    <t>FIR通過1回当りの料金</t>
  </si>
  <si>
    <t>15ﾄﾝ以上の航空機のみ</t>
  </si>
  <si>
    <t>陸上通過</t>
  </si>
  <si>
    <t>洋上のみ</t>
  </si>
  <si>
    <t>通過料</t>
  </si>
  <si>
    <t>合計料金</t>
  </si>
  <si>
    <t>固定資産税</t>
  </si>
  <si>
    <t>機体保険</t>
  </si>
  <si>
    <t>保険</t>
  </si>
  <si>
    <r>
      <t>駐機料</t>
    </r>
    <r>
      <rPr>
        <sz val="11"/>
        <color indexed="10"/>
        <rFont val="ＭＳ Ｐゴシック"/>
        <family val="3"/>
      </rPr>
      <t>（6時間を越える駐機について24時間単位で徴収）</t>
    </r>
  </si>
  <si>
    <t>Piper PA-140</t>
  </si>
  <si>
    <t>747-400</t>
  </si>
  <si>
    <t>777-300</t>
  </si>
  <si>
    <t>787-8</t>
  </si>
  <si>
    <t>保守・維持費　想定/1HR</t>
  </si>
  <si>
    <t>法定福利費（広義の人件費対比）</t>
  </si>
  <si>
    <t>一般管理費（広義の人件費対比）</t>
  </si>
  <si>
    <t>最大離陸重量 (Kg)</t>
  </si>
  <si>
    <t>訓練時における航行援助施設利用料（1回当り）</t>
  </si>
  <si>
    <t>残存簿価</t>
  </si>
  <si>
    <t>単位</t>
  </si>
  <si>
    <t>円/1時間</t>
  </si>
  <si>
    <t>年間整備費/円</t>
  </si>
  <si>
    <t>（注）</t>
  </si>
  <si>
    <t>（注）　</t>
  </si>
  <si>
    <t>単位換算（米国）：1バレル＝159リットル；1ガロン＝3.785リットル</t>
  </si>
  <si>
    <t>日本の燃油税率（円/１ﾘｯﾄﾙ）</t>
  </si>
  <si>
    <t>燃油税（例外）：沖縄路線：９円；特定離島路線：13.5円</t>
  </si>
  <si>
    <t>USD/ｶﾞﾛﾝ</t>
  </si>
  <si>
    <t>USD/ﾊﾞﾚﾙ</t>
  </si>
  <si>
    <t>単位換算（米国）：</t>
  </si>
  <si>
    <t>基礎データ</t>
  </si>
  <si>
    <t>訓練コスト（試算）</t>
  </si>
  <si>
    <t>年間整備費等概算（購入価格に対する比率）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</si>
</sst>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.0_ "/>
    <numFmt numFmtId="181" formatCode="0_ "/>
    <numFmt numFmtId="182" formatCode="#,##0.0_);[Red]\(#,##0.0\)"/>
    <numFmt numFmtId="183" formatCode="#,##0;&quot;▲ &quot;#,##0"/>
    <numFmt numFmtId="184" formatCode="0;&quot;▲ &quot;0"/>
    <numFmt numFmtId="185" formatCode="yyyy/m/d;@"/>
    <numFmt numFmtId="186" formatCode="#,##0.000_);[Red]\(#,##0.000\)"/>
    <numFmt numFmtId="187" formatCode="#,##0.00_);[Red]\(#,##0.00\)"/>
    <numFmt numFmtId="188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3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4" borderId="10" xfId="0" applyFill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 shrinkToFit="1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10" borderId="10" xfId="0" applyNumberFormat="1" applyFill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7" fontId="0" fillId="0" borderId="10" xfId="0" applyNumberForma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0" fillId="0" borderId="0" xfId="0" applyNumberForma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0" fillId="4" borderId="1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178" fontId="0" fillId="0" borderId="0" xfId="0" applyNumberForma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32" borderId="11" xfId="0" applyNumberFormat="1" applyFill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7" fontId="0" fillId="10" borderId="10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177" fontId="0" fillId="4" borderId="17" xfId="0" applyNumberFormat="1" applyFill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4" borderId="20" xfId="0" applyNumberForma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vertical="center"/>
    </xf>
    <xf numFmtId="178" fontId="0" fillId="4" borderId="10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78" fontId="0" fillId="4" borderId="10" xfId="0" applyNumberForma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 shrinkToFit="1"/>
    </xf>
    <xf numFmtId="38" fontId="0" fillId="0" borderId="0" xfId="49" applyFont="1" applyAlignment="1">
      <alignment horizontal="right" vertical="center"/>
    </xf>
    <xf numFmtId="38" fontId="0" fillId="0" borderId="10" xfId="49" applyFont="1" applyBorder="1" applyAlignment="1">
      <alignment horizontal="center" vertical="center" shrinkToFit="1"/>
    </xf>
    <xf numFmtId="38" fontId="0" fillId="34" borderId="10" xfId="49" applyFont="1" applyFill="1" applyBorder="1" applyAlignment="1">
      <alignment horizontal="center" vertical="center" shrinkToFit="1"/>
    </xf>
    <xf numFmtId="38" fontId="0" fillId="33" borderId="10" xfId="49" applyFont="1" applyFill="1" applyBorder="1" applyAlignment="1">
      <alignment horizontal="center" vertical="center" shrinkToFit="1"/>
    </xf>
    <xf numFmtId="38" fontId="0" fillId="4" borderId="10" xfId="49" applyFont="1" applyFill="1" applyBorder="1" applyAlignment="1">
      <alignment horizontal="center" vertical="center" shrinkToFit="1"/>
    </xf>
    <xf numFmtId="38" fontId="4" fillId="34" borderId="10" xfId="49" applyFont="1" applyFill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38" fontId="4" fillId="4" borderId="10" xfId="49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178" fontId="4" fillId="4" borderId="10" xfId="0" applyNumberFormat="1" applyFont="1" applyFill="1" applyBorder="1" applyAlignment="1">
      <alignment vertical="center"/>
    </xf>
    <xf numFmtId="176" fontId="0" fillId="35" borderId="10" xfId="0" applyNumberFormat="1" applyFill="1" applyBorder="1" applyAlignment="1">
      <alignment vertical="center"/>
    </xf>
    <xf numFmtId="10" fontId="0" fillId="35" borderId="1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186" fontId="0" fillId="35" borderId="10" xfId="0" applyNumberFormat="1" applyFill="1" applyBorder="1" applyAlignment="1">
      <alignment vertical="center"/>
    </xf>
    <xf numFmtId="187" fontId="0" fillId="35" borderId="11" xfId="0" applyNumberFormat="1" applyFill="1" applyBorder="1" applyAlignment="1">
      <alignment vertical="center"/>
    </xf>
    <xf numFmtId="186" fontId="0" fillId="35" borderId="11" xfId="0" applyNumberFormat="1" applyFill="1" applyBorder="1" applyAlignment="1">
      <alignment vertical="center"/>
    </xf>
    <xf numFmtId="0" fontId="0" fillId="35" borderId="10" xfId="0" applyFill="1" applyBorder="1" applyAlignment="1">
      <alignment horizontal="center" vertical="center" shrinkToFit="1"/>
    </xf>
    <xf numFmtId="181" fontId="0" fillId="36" borderId="10" xfId="0" applyNumberFormat="1" applyFill="1" applyBorder="1" applyAlignment="1">
      <alignment vertical="center"/>
    </xf>
    <xf numFmtId="182" fontId="0" fillId="35" borderId="10" xfId="0" applyNumberFormat="1" applyFill="1" applyBorder="1" applyAlignment="1">
      <alignment horizontal="center" vertical="center" shrinkToFit="1"/>
    </xf>
    <xf numFmtId="178" fontId="0" fillId="35" borderId="10" xfId="0" applyNumberFormat="1" applyFill="1" applyBorder="1" applyAlignment="1">
      <alignment horizontal="center" vertical="center" shrinkToFit="1"/>
    </xf>
    <xf numFmtId="182" fontId="0" fillId="35" borderId="10" xfId="0" applyNumberFormat="1" applyFill="1" applyBorder="1" applyAlignment="1">
      <alignment vertical="center"/>
    </xf>
    <xf numFmtId="178" fontId="0" fillId="35" borderId="10" xfId="0" applyNumberFormat="1" applyFill="1" applyBorder="1" applyAlignment="1">
      <alignment vertical="center"/>
    </xf>
    <xf numFmtId="177" fontId="0" fillId="35" borderId="10" xfId="0" applyNumberFormat="1" applyFill="1" applyBorder="1" applyAlignment="1">
      <alignment vertical="center"/>
    </xf>
    <xf numFmtId="182" fontId="0" fillId="37" borderId="0" xfId="0" applyNumberFormat="1" applyFill="1" applyBorder="1" applyAlignment="1">
      <alignment vertical="center"/>
    </xf>
    <xf numFmtId="178" fontId="0" fillId="37" borderId="0" xfId="0" applyNumberFormat="1" applyFill="1" applyBorder="1" applyAlignment="1">
      <alignment vertical="center"/>
    </xf>
    <xf numFmtId="177" fontId="0" fillId="37" borderId="0" xfId="0" applyNumberForma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177" fontId="0" fillId="38" borderId="10" xfId="0" applyNumberForma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21" xfId="0" applyFill="1" applyBorder="1" applyAlignment="1">
      <alignment horizontal="right" vertical="center"/>
    </xf>
    <xf numFmtId="9" fontId="0" fillId="0" borderId="10" xfId="0" applyNumberFormat="1" applyFill="1" applyBorder="1" applyAlignment="1">
      <alignment vertical="center"/>
    </xf>
    <xf numFmtId="9" fontId="0" fillId="0" borderId="10" xfId="49" applyNumberFormat="1" applyFont="1" applyBorder="1" applyAlignment="1">
      <alignment vertical="center" shrinkToFit="1"/>
    </xf>
    <xf numFmtId="0" fontId="0" fillId="0" borderId="12" xfId="0" applyBorder="1" applyAlignment="1">
      <alignment vertical="center" wrapText="1"/>
    </xf>
    <xf numFmtId="0" fontId="0" fillId="39" borderId="10" xfId="0" applyFill="1" applyBorder="1" applyAlignment="1">
      <alignment vertical="center"/>
    </xf>
    <xf numFmtId="0" fontId="0" fillId="39" borderId="10" xfId="0" applyFill="1" applyBorder="1" applyAlignment="1">
      <alignment horizontal="center" vertical="center" shrinkToFit="1"/>
    </xf>
    <xf numFmtId="177" fontId="0" fillId="39" borderId="10" xfId="0" applyNumberFormat="1" applyFill="1" applyBorder="1" applyAlignment="1">
      <alignment vertical="center"/>
    </xf>
    <xf numFmtId="0" fontId="0" fillId="39" borderId="10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8" fontId="0" fillId="6" borderId="10" xfId="0" applyNumberFormat="1" applyFill="1" applyBorder="1" applyAlignment="1">
      <alignment vertical="center"/>
    </xf>
    <xf numFmtId="178" fontId="9" fillId="6" borderId="10" xfId="0" applyNumberFormat="1" applyFont="1" applyFill="1" applyBorder="1" applyAlignment="1">
      <alignment vertical="center"/>
    </xf>
    <xf numFmtId="178" fontId="0" fillId="40" borderId="10" xfId="0" applyNumberFormat="1" applyFill="1" applyBorder="1" applyAlignment="1">
      <alignment vertical="center"/>
    </xf>
    <xf numFmtId="178" fontId="0" fillId="41" borderId="10" xfId="0" applyNumberFormat="1" applyFill="1" applyBorder="1" applyAlignment="1">
      <alignment vertical="center"/>
    </xf>
    <xf numFmtId="178" fontId="9" fillId="40" borderId="10" xfId="0" applyNumberFormat="1" applyFont="1" applyFill="1" applyBorder="1" applyAlignment="1">
      <alignment vertical="center"/>
    </xf>
    <xf numFmtId="178" fontId="9" fillId="41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178" fontId="44" fillId="32" borderId="10" xfId="0" applyNumberFormat="1" applyFont="1" applyFill="1" applyBorder="1" applyAlignment="1">
      <alignment vertical="center"/>
    </xf>
    <xf numFmtId="178" fontId="0" fillId="38" borderId="11" xfId="0" applyNumberFormat="1" applyFill="1" applyBorder="1" applyAlignment="1">
      <alignment vertical="center"/>
    </xf>
    <xf numFmtId="178" fontId="44" fillId="38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8" fontId="0" fillId="0" borderId="10" xfId="0" applyNumberForma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5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2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81" fontId="0" fillId="0" borderId="0" xfId="0" applyNumberForma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81" fontId="0" fillId="0" borderId="1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177" fontId="0" fillId="0" borderId="10" xfId="0" applyNumberForma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78" fontId="0" fillId="0" borderId="12" xfId="0" applyNumberFormat="1" applyBorder="1" applyAlignment="1">
      <alignment vertical="center" wrapText="1"/>
    </xf>
    <xf numFmtId="178" fontId="0" fillId="0" borderId="22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181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/>
    </xf>
    <xf numFmtId="181" fontId="0" fillId="35" borderId="11" xfId="0" applyNumberForma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2"/>
  <sheetViews>
    <sheetView tabSelected="1" zoomScalePageLayoutView="0" workbookViewId="0" topLeftCell="B1">
      <selection activeCell="B3" sqref="B3:N32"/>
    </sheetView>
  </sheetViews>
  <sheetFormatPr defaultColWidth="9.00390625" defaultRowHeight="13.5"/>
  <cols>
    <col min="2" max="3" width="13.50390625" style="0" customWidth="1"/>
    <col min="4" max="4" width="11.25390625" style="0" customWidth="1"/>
    <col min="5" max="5" width="10.75390625" style="0" customWidth="1"/>
    <col min="6" max="6" width="10.25390625" style="0" customWidth="1"/>
    <col min="9" max="10" width="9.875" style="0" bestFit="1" customWidth="1"/>
    <col min="11" max="11" width="10.50390625" style="0" customWidth="1"/>
    <col min="14" max="14" width="13.125" style="0" customWidth="1"/>
  </cols>
  <sheetData>
    <row r="3" spans="2:12" ht="13.5">
      <c r="B3" s="125" t="s">
        <v>30</v>
      </c>
      <c r="C3" s="125"/>
      <c r="D3" s="125"/>
      <c r="E3" s="125"/>
      <c r="F3" s="125"/>
      <c r="G3" s="125"/>
      <c r="H3" s="125"/>
      <c r="I3" s="125" t="s">
        <v>79</v>
      </c>
      <c r="J3" s="125"/>
      <c r="K3" s="130"/>
      <c r="L3" s="130"/>
    </row>
    <row r="4" spans="2:12" ht="13.5" customHeight="1">
      <c r="B4" s="125" t="s">
        <v>52</v>
      </c>
      <c r="C4" s="125" t="s">
        <v>81</v>
      </c>
      <c r="D4" s="125"/>
      <c r="E4" s="125"/>
      <c r="F4" s="125"/>
      <c r="G4" s="125" t="s">
        <v>35</v>
      </c>
      <c r="H4" s="125"/>
      <c r="I4" s="125" t="s">
        <v>52</v>
      </c>
      <c r="J4" s="125" t="s">
        <v>81</v>
      </c>
      <c r="K4" s="125"/>
      <c r="L4" s="125"/>
    </row>
    <row r="5" spans="2:12" s="7" customFormat="1" ht="13.5">
      <c r="B5" s="125"/>
      <c r="C5" s="60" t="s">
        <v>31</v>
      </c>
      <c r="D5" s="59" t="s">
        <v>18</v>
      </c>
      <c r="E5" s="58" t="s">
        <v>19</v>
      </c>
      <c r="F5" s="62" t="s">
        <v>32</v>
      </c>
      <c r="G5" s="62" t="s">
        <v>33</v>
      </c>
      <c r="H5" s="63" t="s">
        <v>34</v>
      </c>
      <c r="I5" s="125"/>
      <c r="J5" s="60" t="s">
        <v>31</v>
      </c>
      <c r="K5" s="59" t="s">
        <v>18</v>
      </c>
      <c r="L5" s="59" t="s">
        <v>80</v>
      </c>
    </row>
    <row r="7" spans="2:12" s="4" customFormat="1" ht="13.5">
      <c r="B7" s="12" t="s">
        <v>28</v>
      </c>
      <c r="C7" s="12">
        <f>SUM(D7:F7)</f>
        <v>5184024.292634905</v>
      </c>
      <c r="D7" s="12">
        <f>'機材関連費用_まとめ'!L24</f>
        <v>1440891.6666666667</v>
      </c>
      <c r="E7" s="12">
        <f>'機材関連費用_まとめ'!M24</f>
        <v>793333.3333333334</v>
      </c>
      <c r="F7" s="12">
        <f>'機材関連費用_まとめ'!Q24</f>
        <v>2949799.2926349053</v>
      </c>
      <c r="G7" s="12">
        <f>'着陸料・航行援助施設利用料・駐機料'!E28</f>
        <v>654868.5</v>
      </c>
      <c r="H7" s="12">
        <f>'着陸料・航行援助施設利用料・駐機料'!J28</f>
        <v>557330.2</v>
      </c>
      <c r="I7" s="12" t="s">
        <v>82</v>
      </c>
      <c r="J7" s="12">
        <f>K7+L7</f>
        <v>80686.8</v>
      </c>
      <c r="K7" s="12">
        <f>'機材関連費用_まとめ'!$L$32</f>
        <v>59761.8</v>
      </c>
      <c r="L7" s="12">
        <f>'機材関連費用_まとめ'!$M$32</f>
        <v>20925</v>
      </c>
    </row>
    <row r="8" spans="2:12" s="4" customFormat="1" ht="13.5">
      <c r="B8" s="12" t="s">
        <v>26</v>
      </c>
      <c r="C8" s="12">
        <f>SUM(D8:F8)</f>
        <v>1842729.1943908806</v>
      </c>
      <c r="D8" s="12">
        <f>'機材関連費用_まとめ'!L25</f>
        <v>691628</v>
      </c>
      <c r="E8" s="12">
        <f>'機材関連費用_まとめ'!M25</f>
        <v>380800</v>
      </c>
      <c r="F8" s="12">
        <f>'機材関連費用_まとめ'!Q25</f>
        <v>770301.1943908806</v>
      </c>
      <c r="G8" s="12">
        <f>'着陸料・航行援助施設利用料・駐機料'!E29</f>
        <v>110614</v>
      </c>
      <c r="H8" s="12">
        <f>'着陸料・航行援助施設利用料・駐機料'!J29</f>
        <v>182231.8</v>
      </c>
      <c r="I8" s="12" t="s">
        <v>70</v>
      </c>
      <c r="J8" s="12">
        <f>K8+L8</f>
        <v>49308.6</v>
      </c>
      <c r="K8" s="12">
        <f>'機材関連費用_まとめ'!$L$33</f>
        <v>36521.1</v>
      </c>
      <c r="L8" s="12">
        <f>'機材関連費用_まとめ'!$M$33</f>
        <v>12787.5</v>
      </c>
    </row>
    <row r="9" spans="2:12" s="4" customFormat="1" ht="13.5">
      <c r="B9" s="12" t="s">
        <v>27</v>
      </c>
      <c r="C9" s="12">
        <f>SUM(D9:F9)</f>
        <v>3007619.2098421385</v>
      </c>
      <c r="D9" s="12">
        <f>'機材関連費用_まとめ'!L26</f>
        <v>1037442</v>
      </c>
      <c r="E9" s="12">
        <f>'機材関連費用_まとめ'!M26</f>
        <v>571200</v>
      </c>
      <c r="F9" s="12">
        <f>'機材関連費用_まとめ'!Q26</f>
        <v>1398977.2098421385</v>
      </c>
      <c r="G9" s="12">
        <f>'着陸料・航行援助施設利用料・駐機料'!E30</f>
        <v>289664</v>
      </c>
      <c r="H9" s="12">
        <f>'着陸料・航行援助施設利用料・駐機料'!J30</f>
        <v>309518.4</v>
      </c>
      <c r="I9" s="12" t="s">
        <v>82</v>
      </c>
      <c r="J9" s="12">
        <f>K9+L9</f>
        <v>80686.8</v>
      </c>
      <c r="K9" s="12">
        <f>'機材関連費用_まとめ'!$L$32</f>
        <v>59761.8</v>
      </c>
      <c r="L9" s="12">
        <f>'機材関連費用_まとめ'!$M$32</f>
        <v>20925</v>
      </c>
    </row>
    <row r="10" spans="2:12" s="4" customFormat="1" ht="13.5">
      <c r="B10" s="12" t="s">
        <v>25</v>
      </c>
      <c r="C10" s="12">
        <f>SUM(D10:F10)</f>
        <v>5654015.8473449685</v>
      </c>
      <c r="D10" s="12">
        <f>'機材関連費用_まとめ'!L27</f>
        <v>1867395.6</v>
      </c>
      <c r="E10" s="12">
        <f>'機材関連費用_まとめ'!M27</f>
        <v>1028160</v>
      </c>
      <c r="F10" s="12">
        <f>'機材関連費用_まとめ'!Q27</f>
        <v>2758460.247344969</v>
      </c>
      <c r="G10" s="12">
        <f>'着陸料・航行援助施設利用料・駐機料'!E31</f>
        <v>493960.5</v>
      </c>
      <c r="H10" s="12">
        <f>'着陸料・航行援助施設利用料・駐機料'!J31</f>
        <v>442256.6</v>
      </c>
      <c r="I10" s="12" t="s">
        <v>82</v>
      </c>
      <c r="J10" s="12">
        <f>K10+L10</f>
        <v>80686.8</v>
      </c>
      <c r="K10" s="12">
        <f>'機材関連費用_まとめ'!$L$32</f>
        <v>59761.8</v>
      </c>
      <c r="L10" s="12">
        <f>'機材関連費用_まとめ'!$M$32</f>
        <v>20925</v>
      </c>
    </row>
    <row r="11" spans="2:12" s="4" customFormat="1" ht="13.5">
      <c r="B11" s="12" t="s">
        <v>29</v>
      </c>
      <c r="C11" s="12">
        <f>SUM(D11:F11)</f>
        <v>3088176.3949685534</v>
      </c>
      <c r="D11" s="12">
        <f>'機材関連費用_まとめ'!L28</f>
        <v>1141186.2</v>
      </c>
      <c r="E11" s="12">
        <f>'機材関連費用_まとめ'!M28</f>
        <v>628320</v>
      </c>
      <c r="F11" s="12">
        <f>'機材関連費用_まとめ'!Q28</f>
        <v>1318670.1949685535</v>
      </c>
      <c r="G11" s="12">
        <f>'着陸料・航行援助施設利用料・駐機料'!E32</f>
        <v>362241</v>
      </c>
      <c r="H11" s="12">
        <f>'着陸料・航行援助施設利用料・駐機料'!J32</f>
        <v>348057.19999999995</v>
      </c>
      <c r="I11" s="12" t="s">
        <v>82</v>
      </c>
      <c r="J11" s="12">
        <f>K11+L11</f>
        <v>80686.8</v>
      </c>
      <c r="K11" s="12">
        <f>'機材関連費用_まとめ'!$L$32</f>
        <v>59761.8</v>
      </c>
      <c r="L11" s="12">
        <f>'機材関連費用_まとめ'!$M$32</f>
        <v>20925</v>
      </c>
    </row>
    <row r="13" spans="2:4" ht="13.5">
      <c r="B13" s="127" t="s">
        <v>125</v>
      </c>
      <c r="C13" s="128"/>
      <c r="D13" s="11">
        <f>'人件費・その他経費'!I10</f>
        <v>24876</v>
      </c>
    </row>
    <row r="14" spans="2:4" ht="13.5">
      <c r="B14" s="127" t="s">
        <v>126</v>
      </c>
      <c r="C14" s="128"/>
      <c r="D14" s="11">
        <f>'人件費・その他経費'!I18</f>
        <v>9476.57142857143</v>
      </c>
    </row>
    <row r="15" ht="13.5">
      <c r="B15" s="38"/>
    </row>
    <row r="16" spans="2:14" ht="13.5">
      <c r="B16" s="129" t="s">
        <v>132</v>
      </c>
      <c r="C16" s="125" t="s">
        <v>30</v>
      </c>
      <c r="D16" s="125"/>
      <c r="E16" s="125"/>
      <c r="F16" s="125"/>
      <c r="G16" s="125"/>
      <c r="H16" s="125" t="s">
        <v>79</v>
      </c>
      <c r="I16" s="125"/>
      <c r="J16" s="125"/>
      <c r="K16" s="125" t="s">
        <v>130</v>
      </c>
      <c r="L16" s="125"/>
      <c r="M16" s="126" t="s">
        <v>57</v>
      </c>
      <c r="N16" s="132" t="s">
        <v>131</v>
      </c>
    </row>
    <row r="17" spans="2:14" s="7" customFormat="1" ht="13.5">
      <c r="B17" s="129"/>
      <c r="C17" s="125" t="s">
        <v>38</v>
      </c>
      <c r="D17" s="125"/>
      <c r="E17" s="126" t="s">
        <v>127</v>
      </c>
      <c r="F17" s="126" t="s">
        <v>35</v>
      </c>
      <c r="G17" s="126" t="s">
        <v>128</v>
      </c>
      <c r="H17" s="126" t="s">
        <v>38</v>
      </c>
      <c r="I17" s="126" t="s">
        <v>129</v>
      </c>
      <c r="J17" s="126" t="s">
        <v>128</v>
      </c>
      <c r="K17" s="126" t="s">
        <v>38</v>
      </c>
      <c r="L17" s="126" t="s">
        <v>128</v>
      </c>
      <c r="M17" s="126"/>
      <c r="N17" s="132"/>
    </row>
    <row r="18" spans="2:14" s="7" customFormat="1" ht="13.5">
      <c r="B18" s="129"/>
      <c r="C18" s="8" t="s">
        <v>36</v>
      </c>
      <c r="D18" s="8" t="s">
        <v>37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32"/>
    </row>
    <row r="19" spans="2:14" ht="13.5">
      <c r="B19" s="123" t="s">
        <v>28</v>
      </c>
      <c r="C19" s="12">
        <v>10</v>
      </c>
      <c r="D19" s="12">
        <v>6</v>
      </c>
      <c r="E19" s="12">
        <f>C7*C19</f>
        <v>51840242.92634905</v>
      </c>
      <c r="F19" s="12">
        <f>D19*(G7+H7)</f>
        <v>7273192.199999999</v>
      </c>
      <c r="G19" s="12">
        <f>C19*$D$13</f>
        <v>248760</v>
      </c>
      <c r="H19" s="12">
        <v>25</v>
      </c>
      <c r="I19" s="12">
        <f>H19*J7</f>
        <v>2017170</v>
      </c>
      <c r="J19" s="12">
        <f>H19*$D$13</f>
        <v>621900</v>
      </c>
      <c r="K19" s="12">
        <v>15</v>
      </c>
      <c r="L19" s="12">
        <f>K19*$D$14</f>
        <v>142148.57142857145</v>
      </c>
      <c r="M19" s="12"/>
      <c r="N19" s="124">
        <f>E19+F19+G19+I19+J19+L19+M19</f>
        <v>62143413.69777762</v>
      </c>
    </row>
    <row r="20" spans="2:14" ht="13.5">
      <c r="B20" s="123" t="s">
        <v>26</v>
      </c>
      <c r="C20" s="12">
        <v>10</v>
      </c>
      <c r="D20" s="12">
        <v>6</v>
      </c>
      <c r="E20" s="12">
        <f>C8*C20</f>
        <v>18427291.943908807</v>
      </c>
      <c r="F20" s="12">
        <f>D20*(G8+H8)</f>
        <v>1757074.7999999998</v>
      </c>
      <c r="G20" s="12">
        <f>C20*$D$13</f>
        <v>248760</v>
      </c>
      <c r="H20" s="12">
        <v>25</v>
      </c>
      <c r="I20" s="12">
        <f>H20*J8</f>
        <v>1232715</v>
      </c>
      <c r="J20" s="12">
        <f>H20*$D$13</f>
        <v>621900</v>
      </c>
      <c r="K20" s="12">
        <v>15</v>
      </c>
      <c r="L20" s="12">
        <f>K20*$D$14</f>
        <v>142148.57142857145</v>
      </c>
      <c r="M20" s="12"/>
      <c r="N20" s="124">
        <f>E20+F20+G20+I20+J20+L20+M20</f>
        <v>22429890.31533738</v>
      </c>
    </row>
    <row r="21" spans="2:14" ht="13.5">
      <c r="B21" s="123" t="s">
        <v>27</v>
      </c>
      <c r="C21" s="12">
        <v>10</v>
      </c>
      <c r="D21" s="12">
        <v>6</v>
      </c>
      <c r="E21" s="12">
        <f>C9*C21</f>
        <v>30076192.098421384</v>
      </c>
      <c r="F21" s="12">
        <f>D21*(G9+H9)</f>
        <v>3595094.4000000004</v>
      </c>
      <c r="G21" s="12">
        <f>C21*$D$13</f>
        <v>248760</v>
      </c>
      <c r="H21" s="12">
        <v>25</v>
      </c>
      <c r="I21" s="12">
        <f>H21*J9</f>
        <v>2017170</v>
      </c>
      <c r="J21" s="12">
        <f>H21*$D$13</f>
        <v>621900</v>
      </c>
      <c r="K21" s="12">
        <v>15</v>
      </c>
      <c r="L21" s="12">
        <f>K21*$D$14</f>
        <v>142148.57142857145</v>
      </c>
      <c r="M21" s="12"/>
      <c r="N21" s="124">
        <f>E21+F21+G21+I21+J21+L21+M21</f>
        <v>36701265.06984996</v>
      </c>
    </row>
    <row r="22" spans="2:14" ht="13.5">
      <c r="B22" s="123" t="s">
        <v>25</v>
      </c>
      <c r="C22" s="12">
        <v>10</v>
      </c>
      <c r="D22" s="12">
        <v>6</v>
      </c>
      <c r="E22" s="12">
        <f>C10*C22</f>
        <v>56540158.473449685</v>
      </c>
      <c r="F22" s="12">
        <f>D22*(G10+H10)</f>
        <v>5617302.6</v>
      </c>
      <c r="G22" s="12">
        <f>C22*$D$13</f>
        <v>248760</v>
      </c>
      <c r="H22" s="12">
        <v>25</v>
      </c>
      <c r="I22" s="12">
        <f>H22*J10</f>
        <v>2017170</v>
      </c>
      <c r="J22" s="12">
        <f>H22*$D$13</f>
        <v>621900</v>
      </c>
      <c r="K22" s="12">
        <v>15</v>
      </c>
      <c r="L22" s="12">
        <f>K22*$D$14</f>
        <v>142148.57142857145</v>
      </c>
      <c r="M22" s="12"/>
      <c r="N22" s="124">
        <f>E22+F22+G22+I22+J22+L22+M22</f>
        <v>65187439.64487826</v>
      </c>
    </row>
    <row r="23" spans="2:14" ht="13.5">
      <c r="B23" s="123" t="s">
        <v>29</v>
      </c>
      <c r="C23" s="12">
        <v>10</v>
      </c>
      <c r="D23" s="12">
        <v>6</v>
      </c>
      <c r="E23" s="12">
        <f>C11*C23</f>
        <v>30881763.949685536</v>
      </c>
      <c r="F23" s="12">
        <f>D23*(G11+H11)</f>
        <v>4261789.199999999</v>
      </c>
      <c r="G23" s="12">
        <f>C23*$D$13</f>
        <v>248760</v>
      </c>
      <c r="H23" s="12">
        <v>25</v>
      </c>
      <c r="I23" s="12">
        <f>H23*J11</f>
        <v>2017170</v>
      </c>
      <c r="J23" s="12">
        <f>H23*$D$13</f>
        <v>621900</v>
      </c>
      <c r="K23" s="12">
        <v>15</v>
      </c>
      <c r="L23" s="12">
        <f>K23*$D$14</f>
        <v>142148.57142857145</v>
      </c>
      <c r="M23" s="12"/>
      <c r="N23" s="124">
        <f>E23+F23+G23+I23+J23+L23+M23</f>
        <v>38173531.72111411</v>
      </c>
    </row>
    <row r="25" spans="2:14" ht="13.5">
      <c r="B25" s="133" t="s">
        <v>133</v>
      </c>
      <c r="C25" s="125" t="s">
        <v>30</v>
      </c>
      <c r="D25" s="125"/>
      <c r="E25" s="125"/>
      <c r="F25" s="125"/>
      <c r="G25" s="125"/>
      <c r="H25" s="125" t="s">
        <v>79</v>
      </c>
      <c r="I25" s="125"/>
      <c r="J25" s="125"/>
      <c r="K25" s="125" t="s">
        <v>130</v>
      </c>
      <c r="L25" s="125"/>
      <c r="M25" s="126" t="s">
        <v>57</v>
      </c>
      <c r="N25" s="131" t="s">
        <v>131</v>
      </c>
    </row>
    <row r="26" spans="2:14" ht="13.5">
      <c r="B26" s="133"/>
      <c r="C26" s="125" t="s">
        <v>38</v>
      </c>
      <c r="D26" s="125"/>
      <c r="E26" s="126" t="s">
        <v>127</v>
      </c>
      <c r="F26" s="126" t="s">
        <v>35</v>
      </c>
      <c r="G26" s="126" t="s">
        <v>128</v>
      </c>
      <c r="H26" s="126" t="s">
        <v>38</v>
      </c>
      <c r="I26" s="126" t="s">
        <v>129</v>
      </c>
      <c r="J26" s="126" t="s">
        <v>128</v>
      </c>
      <c r="K26" s="126" t="s">
        <v>38</v>
      </c>
      <c r="L26" s="126" t="s">
        <v>128</v>
      </c>
      <c r="M26" s="126"/>
      <c r="N26" s="131"/>
    </row>
    <row r="27" spans="2:14" ht="13.5">
      <c r="B27" s="133"/>
      <c r="C27" s="8" t="s">
        <v>36</v>
      </c>
      <c r="D27" s="8" t="s">
        <v>37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31"/>
    </row>
    <row r="28" spans="2:14" ht="13.5">
      <c r="B28" s="40" t="s">
        <v>28</v>
      </c>
      <c r="C28" s="12">
        <v>5</v>
      </c>
      <c r="D28" s="12">
        <v>3</v>
      </c>
      <c r="E28" s="12">
        <f>C28*C7</f>
        <v>25920121.463174526</v>
      </c>
      <c r="F28" s="12">
        <f>D28*(G7+H7)</f>
        <v>3636596.0999999996</v>
      </c>
      <c r="G28" s="12">
        <f>C28*$D$13</f>
        <v>124380</v>
      </c>
      <c r="H28" s="12">
        <v>15</v>
      </c>
      <c r="I28" s="12">
        <f>H28*J7</f>
        <v>1210302</v>
      </c>
      <c r="J28" s="12">
        <f>H28*$D$13</f>
        <v>373140</v>
      </c>
      <c r="K28" s="12">
        <v>10</v>
      </c>
      <c r="L28" s="12">
        <f>K28*$D$14</f>
        <v>94765.71428571429</v>
      </c>
      <c r="M28" s="12"/>
      <c r="N28" s="122">
        <f>E28+F28+G28+I28+J28+L28+M28</f>
        <v>31359305.277460236</v>
      </c>
    </row>
    <row r="29" spans="2:14" ht="13.5">
      <c r="B29" s="40" t="s">
        <v>26</v>
      </c>
      <c r="C29" s="12">
        <v>5</v>
      </c>
      <c r="D29" s="12">
        <v>3</v>
      </c>
      <c r="E29" s="12">
        <f>C29*C8</f>
        <v>9213645.971954403</v>
      </c>
      <c r="F29" s="12">
        <f>D29*(G8+H8)</f>
        <v>878537.3999999999</v>
      </c>
      <c r="G29" s="12">
        <f>C29*$D$13</f>
        <v>124380</v>
      </c>
      <c r="H29" s="12">
        <v>15</v>
      </c>
      <c r="I29" s="12">
        <f>H29*J8</f>
        <v>739629</v>
      </c>
      <c r="J29" s="12">
        <f>H29*$D$13</f>
        <v>373140</v>
      </c>
      <c r="K29" s="12">
        <v>10</v>
      </c>
      <c r="L29" s="12">
        <f>K29*$D$14</f>
        <v>94765.71428571429</v>
      </c>
      <c r="M29" s="12"/>
      <c r="N29" s="122">
        <f>E29+F29+G29+I29+J29+L29+M29</f>
        <v>11424098.086240118</v>
      </c>
    </row>
    <row r="30" spans="2:14" ht="13.5">
      <c r="B30" s="40" t="s">
        <v>27</v>
      </c>
      <c r="C30" s="12">
        <v>5</v>
      </c>
      <c r="D30" s="12">
        <v>3</v>
      </c>
      <c r="E30" s="12">
        <f>C30*C9</f>
        <v>15038096.049210692</v>
      </c>
      <c r="F30" s="12">
        <f>D30*(G9+H9)</f>
        <v>1797547.2000000002</v>
      </c>
      <c r="G30" s="12">
        <f>C30*$D$13</f>
        <v>124380</v>
      </c>
      <c r="H30" s="12">
        <v>15</v>
      </c>
      <c r="I30" s="12">
        <f>H30*J9</f>
        <v>1210302</v>
      </c>
      <c r="J30" s="12">
        <f>H30*$D$13</f>
        <v>373140</v>
      </c>
      <c r="K30" s="12">
        <v>10</v>
      </c>
      <c r="L30" s="12">
        <f>K30*$D$14</f>
        <v>94765.71428571429</v>
      </c>
      <c r="M30" s="12"/>
      <c r="N30" s="122">
        <f>E30+F30+G30+I30+J30+L30+M30</f>
        <v>18638230.963496406</v>
      </c>
    </row>
    <row r="31" spans="2:14" ht="13.5">
      <c r="B31" s="40" t="s">
        <v>25</v>
      </c>
      <c r="C31" s="12">
        <v>5</v>
      </c>
      <c r="D31" s="12">
        <v>3</v>
      </c>
      <c r="E31" s="12">
        <f>C31*C10</f>
        <v>28270079.236724842</v>
      </c>
      <c r="F31" s="12">
        <f>D31*(G10+H10)</f>
        <v>2808651.3</v>
      </c>
      <c r="G31" s="12">
        <f>C31*$D$13</f>
        <v>124380</v>
      </c>
      <c r="H31" s="12">
        <v>15</v>
      </c>
      <c r="I31" s="12">
        <f>H31*J10</f>
        <v>1210302</v>
      </c>
      <c r="J31" s="12">
        <f>H31*$D$13</f>
        <v>373140</v>
      </c>
      <c r="K31" s="12">
        <v>10</v>
      </c>
      <c r="L31" s="12">
        <f>K31*$D$14</f>
        <v>94765.71428571429</v>
      </c>
      <c r="M31" s="12"/>
      <c r="N31" s="122">
        <f>E31+F31+G31+I31+J31+L31+M31</f>
        <v>32881318.251010556</v>
      </c>
    </row>
    <row r="32" spans="2:14" ht="13.5">
      <c r="B32" s="40" t="s">
        <v>29</v>
      </c>
      <c r="C32" s="12">
        <v>5</v>
      </c>
      <c r="D32" s="12">
        <v>3</v>
      </c>
      <c r="E32" s="12">
        <f>C32*C11</f>
        <v>15440881.974842768</v>
      </c>
      <c r="F32" s="12">
        <f>D32*(G11+H11)</f>
        <v>2130894.5999999996</v>
      </c>
      <c r="G32" s="12">
        <f>C32*$D$13</f>
        <v>124380</v>
      </c>
      <c r="H32" s="12">
        <v>15</v>
      </c>
      <c r="I32" s="12">
        <f>H32*J11</f>
        <v>1210302</v>
      </c>
      <c r="J32" s="12">
        <f>H32*$D$13</f>
        <v>373140</v>
      </c>
      <c r="K32" s="12">
        <v>10</v>
      </c>
      <c r="L32" s="12">
        <f>K32*$D$14</f>
        <v>94765.71428571429</v>
      </c>
      <c r="M32" s="12"/>
      <c r="N32" s="122">
        <f>E32+F32+G32+I32+J32+L32+M32</f>
        <v>19374364.28912848</v>
      </c>
    </row>
  </sheetData>
  <sheetProtection/>
  <mergeCells count="39">
    <mergeCell ref="G26:G27"/>
    <mergeCell ref="E17:E18"/>
    <mergeCell ref="F17:F18"/>
    <mergeCell ref="I17:I18"/>
    <mergeCell ref="M16:M18"/>
    <mergeCell ref="H26:H27"/>
    <mergeCell ref="I26:I27"/>
    <mergeCell ref="K26:K27"/>
    <mergeCell ref="J26:J27"/>
    <mergeCell ref="K16:L16"/>
    <mergeCell ref="L26:L27"/>
    <mergeCell ref="N16:N18"/>
    <mergeCell ref="M25:M27"/>
    <mergeCell ref="B25:B27"/>
    <mergeCell ref="C25:G25"/>
    <mergeCell ref="H25:J25"/>
    <mergeCell ref="K25:L25"/>
    <mergeCell ref="E26:E27"/>
    <mergeCell ref="F26:F27"/>
    <mergeCell ref="C17:D17"/>
    <mergeCell ref="I4:I5"/>
    <mergeCell ref="I3:L3"/>
    <mergeCell ref="J4:L4"/>
    <mergeCell ref="G4:H4"/>
    <mergeCell ref="N25:N27"/>
    <mergeCell ref="C26:D26"/>
    <mergeCell ref="J17:J18"/>
    <mergeCell ref="H16:J16"/>
    <mergeCell ref="K17:K18"/>
    <mergeCell ref="L17:L18"/>
    <mergeCell ref="B3:H3"/>
    <mergeCell ref="G17:G18"/>
    <mergeCell ref="C16:G16"/>
    <mergeCell ref="B4:B5"/>
    <mergeCell ref="C4:F4"/>
    <mergeCell ref="B13:C13"/>
    <mergeCell ref="B14:C14"/>
    <mergeCell ref="B16:B18"/>
    <mergeCell ref="H17:H18"/>
  </mergeCells>
  <printOptions/>
  <pageMargins left="0.57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&amp;C&amp;"ＭＳ Ｐゴシック,太字"&amp;18&amp;A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5:H20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5.75390625" style="0" customWidth="1"/>
    <col min="4" max="4" width="9.875" style="0" bestFit="1" customWidth="1"/>
    <col min="5" max="6" width="10.00390625" style="6" customWidth="1"/>
    <col min="7" max="7" width="11.00390625" style="0" customWidth="1"/>
    <col min="8" max="8" width="5.375" style="0" customWidth="1"/>
  </cols>
  <sheetData>
    <row r="5" spans="1:4" ht="13.5">
      <c r="A5" s="125" t="s">
        <v>118</v>
      </c>
      <c r="B5" s="130" t="s">
        <v>8</v>
      </c>
      <c r="C5" s="130"/>
      <c r="D5" s="85">
        <v>0.03</v>
      </c>
    </row>
    <row r="6" spans="1:4" ht="13.5">
      <c r="A6" s="125"/>
      <c r="B6" s="179" t="s">
        <v>162</v>
      </c>
      <c r="C6" s="180"/>
      <c r="D6" s="86">
        <v>0.0128</v>
      </c>
    </row>
    <row r="7" spans="1:4" ht="13.5">
      <c r="A7" s="125"/>
      <c r="B7" s="181" t="s">
        <v>163</v>
      </c>
      <c r="C7" s="180"/>
      <c r="D7" s="86">
        <v>0.0025</v>
      </c>
    </row>
    <row r="8" spans="1:7" ht="13.5">
      <c r="A8" s="125"/>
      <c r="B8" s="168" t="s">
        <v>11</v>
      </c>
      <c r="C8" s="9" t="s">
        <v>9</v>
      </c>
      <c r="D8" s="87">
        <v>119</v>
      </c>
      <c r="G8" s="176" t="s">
        <v>182</v>
      </c>
    </row>
    <row r="9" spans="1:7" ht="13.5" customHeight="1">
      <c r="A9" s="125"/>
      <c r="B9" s="168"/>
      <c r="C9" s="9" t="s">
        <v>69</v>
      </c>
      <c r="D9" s="87">
        <v>93</v>
      </c>
      <c r="G9" s="168"/>
    </row>
    <row r="10" spans="1:7" ht="13.5">
      <c r="A10" s="125"/>
      <c r="B10" s="168"/>
      <c r="C10" s="9" t="s">
        <v>10</v>
      </c>
      <c r="D10" s="87">
        <v>131</v>
      </c>
      <c r="F10" s="92" t="s">
        <v>176</v>
      </c>
      <c r="G10" s="168"/>
    </row>
    <row r="11" spans="1:8" ht="13.5">
      <c r="A11" s="125"/>
      <c r="B11" s="9" t="s">
        <v>21</v>
      </c>
      <c r="C11" s="9" t="s">
        <v>20</v>
      </c>
      <c r="D11" s="103">
        <f>D8*E11/159</f>
        <v>156.19685534591196</v>
      </c>
      <c r="E11" s="90">
        <v>208.7</v>
      </c>
      <c r="F11" s="88" t="s">
        <v>185</v>
      </c>
      <c r="G11" s="93">
        <v>18</v>
      </c>
      <c r="H11" s="125" t="s">
        <v>179</v>
      </c>
    </row>
    <row r="12" spans="1:8" ht="13.5">
      <c r="A12" s="125"/>
      <c r="B12" s="9" t="s">
        <v>22</v>
      </c>
      <c r="C12" s="9" t="s">
        <v>23</v>
      </c>
      <c r="D12" s="103">
        <f>D8*E12/3.785</f>
        <v>184.8665785997358</v>
      </c>
      <c r="E12" s="91">
        <v>5.88</v>
      </c>
      <c r="F12" s="89" t="s">
        <v>184</v>
      </c>
      <c r="G12" s="93">
        <v>18</v>
      </c>
      <c r="H12" s="125"/>
    </row>
    <row r="13" ht="5.25" customHeight="1"/>
    <row r="14" spans="1:4" ht="13.5">
      <c r="A14" s="130" t="s">
        <v>171</v>
      </c>
      <c r="B14" s="130"/>
      <c r="C14" s="130"/>
      <c r="D14" s="85">
        <v>0.12</v>
      </c>
    </row>
    <row r="15" spans="1:4" ht="13.5">
      <c r="A15" s="130" t="s">
        <v>172</v>
      </c>
      <c r="B15" s="130"/>
      <c r="C15" s="130"/>
      <c r="D15" s="85">
        <v>0.2</v>
      </c>
    </row>
    <row r="16" spans="1:4" ht="13.5">
      <c r="A16" s="146" t="s">
        <v>66</v>
      </c>
      <c r="B16" s="130" t="s">
        <v>63</v>
      </c>
      <c r="C16" s="130"/>
      <c r="D16" s="85">
        <v>0.08</v>
      </c>
    </row>
    <row r="17" spans="1:4" ht="13.5">
      <c r="A17" s="147"/>
      <c r="B17" s="130" t="s">
        <v>64</v>
      </c>
      <c r="C17" s="130"/>
      <c r="D17" s="85">
        <v>0.05</v>
      </c>
    </row>
    <row r="18" ht="4.5" customHeight="1"/>
    <row r="19" spans="1:2" ht="13.5">
      <c r="A19" s="177" t="s">
        <v>180</v>
      </c>
      <c r="B19" t="s">
        <v>183</v>
      </c>
    </row>
    <row r="20" spans="1:2" ht="13.5">
      <c r="A20" s="178"/>
      <c r="B20" t="s">
        <v>181</v>
      </c>
    </row>
  </sheetData>
  <sheetProtection/>
  <mergeCells count="13">
    <mergeCell ref="A19:A20"/>
    <mergeCell ref="B5:C5"/>
    <mergeCell ref="B8:B10"/>
    <mergeCell ref="A5:A12"/>
    <mergeCell ref="B6:C6"/>
    <mergeCell ref="B7:C7"/>
    <mergeCell ref="G8:G10"/>
    <mergeCell ref="H11:H12"/>
    <mergeCell ref="A14:C14"/>
    <mergeCell ref="A15:C15"/>
    <mergeCell ref="A16:A17"/>
    <mergeCell ref="B16:C16"/>
    <mergeCell ref="B17:C17"/>
  </mergeCells>
  <printOptions/>
  <pageMargins left="0.7480314960629921" right="0.7480314960629921" top="1.7716535433070868" bottom="0.984251968503937" header="0.5118110236220472" footer="0.5118110236220472"/>
  <pageSetup horizontalDpi="600" verticalDpi="600" orientation="landscape" paperSize="9" scale="165" r:id="rId1"/>
  <headerFooter alignWithMargins="0">
    <oddHeader>&amp;C&amp;"ＭＳ Ｐゴシック,太字"&amp;18&amp;A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27"/>
    </sheetView>
  </sheetViews>
  <sheetFormatPr defaultColWidth="9.00390625" defaultRowHeight="13.5"/>
  <cols>
    <col min="1" max="1" width="12.125" style="0" customWidth="1"/>
    <col min="2" max="2" width="11.75390625" style="0" customWidth="1"/>
    <col min="3" max="3" width="10.625" style="0" customWidth="1"/>
    <col min="4" max="4" width="13.625" style="0" customWidth="1"/>
    <col min="5" max="5" width="9.625" style="0" customWidth="1"/>
    <col min="6" max="6" width="11.25390625" style="0" customWidth="1"/>
    <col min="7" max="7" width="10.75390625" style="0" customWidth="1"/>
    <col min="8" max="8" width="10.25390625" style="0" customWidth="1"/>
    <col min="10" max="10" width="10.75390625" style="0" customWidth="1"/>
    <col min="11" max="11" width="9.875" style="3" bestFit="1" customWidth="1"/>
    <col min="13" max="13" width="11.50390625" style="0" customWidth="1"/>
  </cols>
  <sheetData>
    <row r="1" ht="17.25">
      <c r="A1" s="120" t="s">
        <v>187</v>
      </c>
    </row>
    <row r="2" spans="1:12" ht="13.5">
      <c r="A2" s="134" t="s">
        <v>0</v>
      </c>
      <c r="B2" s="125" t="s">
        <v>39</v>
      </c>
      <c r="C2" s="125"/>
      <c r="D2" s="125"/>
      <c r="E2" s="125"/>
      <c r="F2" s="140" t="s">
        <v>35</v>
      </c>
      <c r="G2" s="143"/>
      <c r="H2" s="3"/>
      <c r="I2" s="134" t="s">
        <v>0</v>
      </c>
      <c r="J2" s="125" t="s">
        <v>140</v>
      </c>
      <c r="K2" s="125"/>
      <c r="L2" s="125"/>
    </row>
    <row r="3" spans="1:12" ht="13.5">
      <c r="A3" s="134"/>
      <c r="B3" s="110" t="s">
        <v>31</v>
      </c>
      <c r="C3" s="59" t="s">
        <v>18</v>
      </c>
      <c r="D3" s="58" t="s">
        <v>19</v>
      </c>
      <c r="E3" s="62" t="s">
        <v>32</v>
      </c>
      <c r="F3" s="64" t="s">
        <v>33</v>
      </c>
      <c r="G3" s="62" t="s">
        <v>34</v>
      </c>
      <c r="H3" s="3"/>
      <c r="I3" s="134"/>
      <c r="J3" s="110" t="s">
        <v>31</v>
      </c>
      <c r="K3" s="59" t="s">
        <v>18</v>
      </c>
      <c r="L3" s="59" t="s">
        <v>19</v>
      </c>
    </row>
    <row r="4" spans="1:12" ht="13.5">
      <c r="A4" s="109" t="s">
        <v>13</v>
      </c>
      <c r="B4" s="111">
        <f>SUM(C4:E4)</f>
        <v>14469.6396</v>
      </c>
      <c r="C4" s="11">
        <f>'機材関連費用_まとめ'!L18</f>
        <v>4620.5796</v>
      </c>
      <c r="D4" s="11">
        <f>'機材関連費用_まとめ'!M18</f>
        <v>2170.56</v>
      </c>
      <c r="E4" s="11">
        <f>'機材関連費用_まとめ'!Q18</f>
        <v>7678.5</v>
      </c>
      <c r="F4" s="41">
        <f>'着陸料・航行援助施設利用料・駐機料'!E24</f>
        <v>1000</v>
      </c>
      <c r="G4" s="11">
        <f>'着陸料・航行援助施設利用料・駐機料'!J24</f>
        <v>106.08</v>
      </c>
      <c r="H4" s="3"/>
      <c r="I4" s="112" t="s">
        <v>13</v>
      </c>
      <c r="J4" s="111">
        <f>K4+L4</f>
        <v>562.11804</v>
      </c>
      <c r="K4" s="11">
        <f>'機材関連費用_まとめ'!L34</f>
        <v>416.34054</v>
      </c>
      <c r="L4" s="11">
        <f>'機材関連費用_まとめ'!M34</f>
        <v>145.7775</v>
      </c>
    </row>
    <row r="5" spans="1:10" ht="13.5">
      <c r="A5" s="109" t="s">
        <v>14</v>
      </c>
      <c r="B5" s="111">
        <f>SUM(C5:E5)</f>
        <v>8504.184949999999</v>
      </c>
      <c r="C5" s="11">
        <f>'機材関連費用_まとめ'!L19</f>
        <v>1084.21495</v>
      </c>
      <c r="D5" s="11">
        <f>'機材関連費用_まとめ'!M19</f>
        <v>509.32</v>
      </c>
      <c r="E5" s="11">
        <f>'機材関連費用_まとめ'!Q19</f>
        <v>6910.649999999999</v>
      </c>
      <c r="F5" s="41">
        <f>'着陸料・航行援助施設利用料・駐機料'!E25</f>
        <v>1000</v>
      </c>
      <c r="G5" s="11">
        <f>'着陸料・航行援助施設利用料・駐機料'!J25</f>
        <v>138.84</v>
      </c>
      <c r="H5" s="3"/>
      <c r="I5" s="113"/>
      <c r="J5" s="113"/>
    </row>
    <row r="6" spans="1:12" ht="13.5">
      <c r="A6" s="109" t="s">
        <v>17</v>
      </c>
      <c r="B6" s="111">
        <f>SUM(C6:E6)</f>
        <v>104127.14029874213</v>
      </c>
      <c r="C6" s="11">
        <f>'機材関連費用_まとめ'!L21</f>
        <v>34958.3325</v>
      </c>
      <c r="D6" s="11">
        <f>'機材関連費用_まとめ'!M21</f>
        <v>16422</v>
      </c>
      <c r="E6" s="11">
        <f>'機材関連費用_まとめ'!Q21</f>
        <v>52746.80779874214</v>
      </c>
      <c r="F6" s="41">
        <f>'着陸料・航行援助施設利用料・駐機料'!E26</f>
        <v>1000</v>
      </c>
      <c r="G6" s="11">
        <f>'着陸料・航行援助施設利用料・駐機料'!J26</f>
        <v>549.6</v>
      </c>
      <c r="H6" s="3"/>
      <c r="I6" s="112" t="s">
        <v>17</v>
      </c>
      <c r="J6" s="11">
        <f>K6+L6</f>
        <v>4252.86675</v>
      </c>
      <c r="K6" s="11">
        <f>'機材関連費用_まとめ'!L35</f>
        <v>3149.944875</v>
      </c>
      <c r="L6" s="11">
        <f>'機材関連費用_まとめ'!M35</f>
        <v>1102.921875</v>
      </c>
    </row>
    <row r="7" spans="2:8" ht="13.5">
      <c r="B7" s="3"/>
      <c r="C7" s="3"/>
      <c r="D7" s="3"/>
      <c r="E7" s="3"/>
      <c r="F7" s="3"/>
      <c r="G7" s="3"/>
      <c r="H7" s="3"/>
    </row>
    <row r="8" ht="17.25">
      <c r="A8" s="121" t="s">
        <v>188</v>
      </c>
    </row>
    <row r="9" spans="1:13" ht="13.5">
      <c r="A9" s="145" t="s">
        <v>134</v>
      </c>
      <c r="B9" s="125" t="s">
        <v>30</v>
      </c>
      <c r="C9" s="125"/>
      <c r="D9" s="125"/>
      <c r="E9" s="125"/>
      <c r="F9" s="140"/>
      <c r="G9" s="125" t="s">
        <v>79</v>
      </c>
      <c r="H9" s="125"/>
      <c r="I9" s="125"/>
      <c r="J9" s="125" t="s">
        <v>130</v>
      </c>
      <c r="K9" s="125"/>
      <c r="L9" s="126" t="s">
        <v>57</v>
      </c>
      <c r="M9" s="137" t="s">
        <v>131</v>
      </c>
    </row>
    <row r="10" spans="1:13" ht="13.5">
      <c r="A10" s="145"/>
      <c r="B10" s="141" t="s">
        <v>38</v>
      </c>
      <c r="C10" s="141"/>
      <c r="D10" s="126" t="s">
        <v>127</v>
      </c>
      <c r="E10" s="126" t="s">
        <v>35</v>
      </c>
      <c r="F10" s="142" t="s">
        <v>128</v>
      </c>
      <c r="G10" s="126" t="s">
        <v>38</v>
      </c>
      <c r="H10" s="126" t="s">
        <v>129</v>
      </c>
      <c r="I10" s="126" t="s">
        <v>128</v>
      </c>
      <c r="J10" s="126" t="s">
        <v>38</v>
      </c>
      <c r="K10" s="138" t="s">
        <v>137</v>
      </c>
      <c r="L10" s="126"/>
      <c r="M10" s="137"/>
    </row>
    <row r="11" spans="1:13" ht="13.5">
      <c r="A11" s="145"/>
      <c r="B11" s="42" t="s">
        <v>36</v>
      </c>
      <c r="C11" s="42" t="s">
        <v>37</v>
      </c>
      <c r="D11" s="126"/>
      <c r="E11" s="126"/>
      <c r="F11" s="142"/>
      <c r="G11" s="126"/>
      <c r="H11" s="126"/>
      <c r="I11" s="126"/>
      <c r="J11" s="126"/>
      <c r="K11" s="138"/>
      <c r="L11" s="126"/>
      <c r="M11" s="137"/>
    </row>
    <row r="12" spans="1:13" s="4" customFormat="1" ht="13.5">
      <c r="A12" s="114" t="s">
        <v>13</v>
      </c>
      <c r="B12" s="35">
        <v>76.5</v>
      </c>
      <c r="C12" s="35">
        <v>70</v>
      </c>
      <c r="D12" s="12">
        <f>B12*B4</f>
        <v>1106927.4294</v>
      </c>
      <c r="E12" s="12">
        <f>C12*(F4+G4)</f>
        <v>77425.59999999999</v>
      </c>
      <c r="F12" s="39">
        <f>B12*'人件費・その他経費'!$I$6</f>
        <v>1268676</v>
      </c>
      <c r="G12" s="12">
        <v>0</v>
      </c>
      <c r="H12" s="12"/>
      <c r="I12" s="12">
        <f>G12*'人件費・その他経費'!$I$6</f>
        <v>0</v>
      </c>
      <c r="J12" s="12">
        <f>510+170</f>
        <v>680</v>
      </c>
      <c r="K12" s="12">
        <f>J12*'人件費・その他経費'!$I$14</f>
        <v>4296045.714285714</v>
      </c>
      <c r="L12" s="12"/>
      <c r="M12" s="115">
        <f>D12+E12+F12+H12+I12+K12+L12</f>
        <v>6749074.743685714</v>
      </c>
    </row>
    <row r="13" spans="1:13" s="4" customFormat="1" ht="13.5">
      <c r="A13" s="114" t="s">
        <v>14</v>
      </c>
      <c r="B13" s="35">
        <v>76.5</v>
      </c>
      <c r="C13" s="35">
        <v>70</v>
      </c>
      <c r="D13" s="12">
        <f>B13*B5</f>
        <v>650570.148675</v>
      </c>
      <c r="E13" s="12">
        <f>C13*(F5+G5)</f>
        <v>79718.79999999999</v>
      </c>
      <c r="F13" s="39">
        <f>B13*'人件費・その他経費'!$I$6</f>
        <v>1268676</v>
      </c>
      <c r="G13" s="12">
        <v>0</v>
      </c>
      <c r="H13" s="12"/>
      <c r="I13" s="12">
        <f>G13*'人件費・その他経費'!$I$6</f>
        <v>0</v>
      </c>
      <c r="J13" s="12">
        <f>510+170</f>
        <v>680</v>
      </c>
      <c r="K13" s="12">
        <f>J13*'人件費・その他経費'!$I$14</f>
        <v>4296045.714285714</v>
      </c>
      <c r="L13" s="12"/>
      <c r="M13" s="115">
        <f>D13+E13+F13+H13+I13+K13+L13</f>
        <v>6295010.662960714</v>
      </c>
    </row>
    <row r="14" ht="6" customHeight="1"/>
    <row r="15" spans="1:13" ht="13.5">
      <c r="A15" s="144" t="s">
        <v>135</v>
      </c>
      <c r="B15" s="125" t="s">
        <v>30</v>
      </c>
      <c r="C15" s="125"/>
      <c r="D15" s="125"/>
      <c r="E15" s="125"/>
      <c r="F15" s="140"/>
      <c r="G15" s="125" t="s">
        <v>79</v>
      </c>
      <c r="H15" s="125"/>
      <c r="I15" s="125"/>
      <c r="J15" s="125" t="s">
        <v>130</v>
      </c>
      <c r="K15" s="125"/>
      <c r="L15" s="126" t="s">
        <v>57</v>
      </c>
      <c r="M15" s="136" t="s">
        <v>131</v>
      </c>
    </row>
    <row r="16" spans="1:13" ht="13.5">
      <c r="A16" s="144"/>
      <c r="B16" s="141" t="s">
        <v>38</v>
      </c>
      <c r="C16" s="141"/>
      <c r="D16" s="126" t="s">
        <v>127</v>
      </c>
      <c r="E16" s="126" t="s">
        <v>35</v>
      </c>
      <c r="F16" s="142" t="s">
        <v>128</v>
      </c>
      <c r="G16" s="126" t="s">
        <v>38</v>
      </c>
      <c r="H16" s="126" t="s">
        <v>129</v>
      </c>
      <c r="I16" s="126" t="s">
        <v>128</v>
      </c>
      <c r="J16" s="126" t="s">
        <v>38</v>
      </c>
      <c r="K16" s="138" t="s">
        <v>128</v>
      </c>
      <c r="L16" s="126"/>
      <c r="M16" s="136"/>
    </row>
    <row r="17" spans="1:13" ht="14.25" customHeight="1">
      <c r="A17" s="144"/>
      <c r="B17" s="42" t="s">
        <v>36</v>
      </c>
      <c r="C17" s="42" t="s">
        <v>37</v>
      </c>
      <c r="D17" s="126"/>
      <c r="E17" s="126"/>
      <c r="F17" s="142"/>
      <c r="G17" s="126"/>
      <c r="H17" s="126"/>
      <c r="I17" s="126"/>
      <c r="J17" s="126"/>
      <c r="K17" s="138"/>
      <c r="L17" s="126"/>
      <c r="M17" s="136"/>
    </row>
    <row r="18" spans="1:13" s="4" customFormat="1" ht="13.5">
      <c r="A18" s="116" t="s">
        <v>13</v>
      </c>
      <c r="B18" s="35">
        <v>78.5</v>
      </c>
      <c r="C18" s="35">
        <v>50</v>
      </c>
      <c r="D18" s="34">
        <f>B18*B4</f>
        <v>1135866.7086</v>
      </c>
      <c r="E18" s="12">
        <f>C18*(F4+G4)</f>
        <v>55304</v>
      </c>
      <c r="F18" s="39">
        <f>B18*'人件費・その他経費'!$I$6</f>
        <v>1301844</v>
      </c>
      <c r="G18" s="12">
        <v>17</v>
      </c>
      <c r="H18" s="12">
        <f>G18*J4</f>
        <v>9556.006679999999</v>
      </c>
      <c r="I18" s="12">
        <f>G18*'人件費・その他経費'!$I$6</f>
        <v>281928</v>
      </c>
      <c r="J18" s="12">
        <v>210</v>
      </c>
      <c r="K18" s="12">
        <f>J18*'人件費・その他経費'!$I$14</f>
        <v>1326720</v>
      </c>
      <c r="L18" s="12"/>
      <c r="M18" s="118">
        <f>D18+E18+F18+H18+I18+K18+L18</f>
        <v>4111218.71528</v>
      </c>
    </row>
    <row r="19" spans="1:13" s="4" customFormat="1" ht="13.5">
      <c r="A19" s="116" t="s">
        <v>14</v>
      </c>
      <c r="B19" s="35">
        <v>78.5</v>
      </c>
      <c r="C19" s="35">
        <v>50</v>
      </c>
      <c r="D19" s="34">
        <f>B19*B5</f>
        <v>667578.5185749999</v>
      </c>
      <c r="E19" s="12">
        <f>C19*(F5+G5)</f>
        <v>56941.99999999999</v>
      </c>
      <c r="F19" s="39">
        <f>B19*'人件費・その他経費'!$I$6</f>
        <v>1301844</v>
      </c>
      <c r="G19" s="12">
        <v>17</v>
      </c>
      <c r="H19" s="12">
        <f>G19*J4</f>
        <v>9556.006679999999</v>
      </c>
      <c r="I19" s="12">
        <f>G19*'人件費・その他経費'!$I$6</f>
        <v>281928</v>
      </c>
      <c r="J19" s="12">
        <v>210</v>
      </c>
      <c r="K19" s="12">
        <f>J19*'人件費・その他経費'!$I$14</f>
        <v>1326720</v>
      </c>
      <c r="L19" s="12"/>
      <c r="M19" s="118">
        <f>D19+E19+F19+H19+I19+K19+L19</f>
        <v>3644568.525255</v>
      </c>
    </row>
    <row r="20" spans="1:13" s="4" customFormat="1" ht="13.5">
      <c r="A20" s="116" t="s">
        <v>17</v>
      </c>
      <c r="B20" s="35">
        <v>78.5</v>
      </c>
      <c r="C20" s="35">
        <v>50</v>
      </c>
      <c r="D20" s="34">
        <f>B20*B6</f>
        <v>8173980.513451258</v>
      </c>
      <c r="E20" s="12">
        <f>C20*(F6+G6)</f>
        <v>77480</v>
      </c>
      <c r="F20" s="39">
        <f>B20*'人件費・その他経費'!$I$6</f>
        <v>1301844</v>
      </c>
      <c r="G20" s="12">
        <v>17</v>
      </c>
      <c r="H20" s="12">
        <f>G20*J6</f>
        <v>72298.73475</v>
      </c>
      <c r="I20" s="12">
        <f>G20*'人件費・その他経費'!$I$6</f>
        <v>281928</v>
      </c>
      <c r="J20" s="12">
        <v>210</v>
      </c>
      <c r="K20" s="12">
        <f>J20*'人件費・その他経費'!$I$14</f>
        <v>1326720</v>
      </c>
      <c r="L20" s="12"/>
      <c r="M20" s="118">
        <f>D20+E20+F20+H20+I20+K20+L20</f>
        <v>11234251.248201258</v>
      </c>
    </row>
    <row r="21" ht="6" customHeight="1"/>
    <row r="22" spans="1:13" ht="13.5">
      <c r="A22" s="139" t="s">
        <v>136</v>
      </c>
      <c r="B22" s="125" t="s">
        <v>30</v>
      </c>
      <c r="C22" s="125"/>
      <c r="D22" s="125"/>
      <c r="E22" s="125"/>
      <c r="F22" s="140"/>
      <c r="G22" s="125" t="s">
        <v>79</v>
      </c>
      <c r="H22" s="125"/>
      <c r="I22" s="125"/>
      <c r="J22" s="125" t="s">
        <v>130</v>
      </c>
      <c r="K22" s="125"/>
      <c r="L22" s="126" t="s">
        <v>57</v>
      </c>
      <c r="M22" s="135" t="s">
        <v>131</v>
      </c>
    </row>
    <row r="23" spans="1:13" ht="13.5">
      <c r="A23" s="139"/>
      <c r="B23" s="141" t="s">
        <v>38</v>
      </c>
      <c r="C23" s="141"/>
      <c r="D23" s="126" t="s">
        <v>127</v>
      </c>
      <c r="E23" s="126" t="s">
        <v>35</v>
      </c>
      <c r="F23" s="142" t="s">
        <v>128</v>
      </c>
      <c r="G23" s="126" t="s">
        <v>38</v>
      </c>
      <c r="H23" s="126" t="s">
        <v>129</v>
      </c>
      <c r="I23" s="126" t="s">
        <v>128</v>
      </c>
      <c r="J23" s="126" t="s">
        <v>38</v>
      </c>
      <c r="K23" s="138" t="s">
        <v>128</v>
      </c>
      <c r="L23" s="126"/>
      <c r="M23" s="135"/>
    </row>
    <row r="24" spans="1:13" ht="13.5">
      <c r="A24" s="139"/>
      <c r="B24" s="42" t="s">
        <v>36</v>
      </c>
      <c r="C24" s="42" t="s">
        <v>37</v>
      </c>
      <c r="D24" s="126"/>
      <c r="E24" s="126"/>
      <c r="F24" s="142"/>
      <c r="G24" s="126"/>
      <c r="H24" s="126"/>
      <c r="I24" s="126"/>
      <c r="J24" s="126"/>
      <c r="K24" s="138"/>
      <c r="L24" s="126"/>
      <c r="M24" s="135"/>
    </row>
    <row r="25" spans="1:13" s="4" customFormat="1" ht="13.5">
      <c r="A25" s="117" t="s">
        <v>13</v>
      </c>
      <c r="B25" s="35">
        <v>70</v>
      </c>
      <c r="C25" s="35">
        <v>70</v>
      </c>
      <c r="D25" s="34">
        <f>B25*B4</f>
        <v>1012874.772</v>
      </c>
      <c r="E25" s="12">
        <f>C25*(F4+G4)</f>
        <v>77425.59999999999</v>
      </c>
      <c r="F25" s="39">
        <f>B25*'人件費・その他経費'!$I$6</f>
        <v>1160880</v>
      </c>
      <c r="G25" s="12">
        <v>0</v>
      </c>
      <c r="H25" s="12"/>
      <c r="I25" s="12">
        <f>G25*'人件費・その他経費'!$I$6</f>
        <v>0</v>
      </c>
      <c r="J25" s="12">
        <f>3+17+25</f>
        <v>45</v>
      </c>
      <c r="K25" s="12">
        <f>'人件費・その他経費'!$I$6</f>
        <v>16584</v>
      </c>
      <c r="L25" s="12"/>
      <c r="M25" s="119">
        <f>D25+E25+F25+H25+I25+K25+L25</f>
        <v>2267764.372</v>
      </c>
    </row>
    <row r="26" spans="1:13" s="4" customFormat="1" ht="13.5">
      <c r="A26" s="117" t="s">
        <v>14</v>
      </c>
      <c r="B26" s="35">
        <v>70</v>
      </c>
      <c r="C26" s="35">
        <v>70</v>
      </c>
      <c r="D26" s="34">
        <f>B26*B5</f>
        <v>595292.9465</v>
      </c>
      <c r="E26" s="12">
        <f>C26*(F5+G5)</f>
        <v>79718.79999999999</v>
      </c>
      <c r="F26" s="39">
        <f>B26*'人件費・その他経費'!$I$6</f>
        <v>1160880</v>
      </c>
      <c r="G26" s="12">
        <v>0</v>
      </c>
      <c r="H26" s="12"/>
      <c r="I26" s="12">
        <f>G26*'人件費・その他経費'!$I$6</f>
        <v>0</v>
      </c>
      <c r="J26" s="12">
        <f>3+17+25</f>
        <v>45</v>
      </c>
      <c r="K26" s="12">
        <f>'人件費・その他経費'!$I$6</f>
        <v>16584</v>
      </c>
      <c r="L26" s="12"/>
      <c r="M26" s="119">
        <f>D26+E26+F26+H26+I26+K26+L26</f>
        <v>1852475.7465</v>
      </c>
    </row>
    <row r="27" spans="1:13" s="4" customFormat="1" ht="13.5">
      <c r="A27" s="117" t="s">
        <v>17</v>
      </c>
      <c r="B27" s="35">
        <v>70</v>
      </c>
      <c r="C27" s="35">
        <v>70</v>
      </c>
      <c r="D27" s="34">
        <f>B27*B6</f>
        <v>7288899.8209119495</v>
      </c>
      <c r="E27" s="12">
        <f>C27*(F6+G6)</f>
        <v>108472</v>
      </c>
      <c r="F27" s="39">
        <f>B27*'人件費・その他経費'!$I$6</f>
        <v>1160880</v>
      </c>
      <c r="G27" s="12">
        <v>0</v>
      </c>
      <c r="H27" s="12"/>
      <c r="I27" s="12">
        <f>G27*'人件費・その他経費'!$I$6</f>
        <v>0</v>
      </c>
      <c r="J27" s="12">
        <f>3+17+25</f>
        <v>45</v>
      </c>
      <c r="K27" s="12">
        <f>'人件費・その他経費'!$I$6</f>
        <v>16584</v>
      </c>
      <c r="L27" s="12"/>
      <c r="M27" s="119">
        <f>D27+E27+F27+H27+I27+K27+L27</f>
        <v>8574835.82091195</v>
      </c>
    </row>
  </sheetData>
  <sheetProtection/>
  <mergeCells count="50">
    <mergeCell ref="K10:K11"/>
    <mergeCell ref="A9:A11"/>
    <mergeCell ref="B9:F9"/>
    <mergeCell ref="B10:C10"/>
    <mergeCell ref="D10:D11"/>
    <mergeCell ref="E10:E11"/>
    <mergeCell ref="F10:F11"/>
    <mergeCell ref="I10:I11"/>
    <mergeCell ref="J10:J11"/>
    <mergeCell ref="H10:H11"/>
    <mergeCell ref="A2:A3"/>
    <mergeCell ref="B2:E2"/>
    <mergeCell ref="F2:G2"/>
    <mergeCell ref="B16:C16"/>
    <mergeCell ref="D16:D17"/>
    <mergeCell ref="G10:G11"/>
    <mergeCell ref="G15:I15"/>
    <mergeCell ref="E16:E17"/>
    <mergeCell ref="F16:F17"/>
    <mergeCell ref="A15:A17"/>
    <mergeCell ref="F23:F24"/>
    <mergeCell ref="J16:J17"/>
    <mergeCell ref="B15:F15"/>
    <mergeCell ref="G22:I22"/>
    <mergeCell ref="J22:K22"/>
    <mergeCell ref="J15:K15"/>
    <mergeCell ref="K16:K17"/>
    <mergeCell ref="G16:G17"/>
    <mergeCell ref="H16:H17"/>
    <mergeCell ref="I16:I17"/>
    <mergeCell ref="K23:K24"/>
    <mergeCell ref="G23:G24"/>
    <mergeCell ref="H23:H24"/>
    <mergeCell ref="I23:I24"/>
    <mergeCell ref="J23:J24"/>
    <mergeCell ref="A22:A24"/>
    <mergeCell ref="B22:F22"/>
    <mergeCell ref="B23:C23"/>
    <mergeCell ref="D23:D24"/>
    <mergeCell ref="E23:E24"/>
    <mergeCell ref="I2:I3"/>
    <mergeCell ref="J2:L2"/>
    <mergeCell ref="L22:L24"/>
    <mergeCell ref="M22:M24"/>
    <mergeCell ref="L15:L17"/>
    <mergeCell ref="M15:M17"/>
    <mergeCell ref="G9:I9"/>
    <mergeCell ref="J9:K9"/>
    <mergeCell ref="L9:L11"/>
    <mergeCell ref="M9:M1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&amp;C&amp;"ＭＳ Ｐゴシック,太字"&amp;18&amp;A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4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18" sqref="J18"/>
    </sheetView>
  </sheetViews>
  <sheetFormatPr defaultColWidth="9.00390625" defaultRowHeight="13.5"/>
  <cols>
    <col min="1" max="1" width="5.50390625" style="7" customWidth="1"/>
    <col min="2" max="2" width="29.00390625" style="0" customWidth="1"/>
    <col min="3" max="3" width="16.375" style="0" customWidth="1"/>
    <col min="4" max="4" width="13.00390625" style="0" customWidth="1"/>
    <col min="5" max="5" width="15.625" style="0" customWidth="1"/>
    <col min="6" max="6" width="12.375" style="0" customWidth="1"/>
    <col min="7" max="7" width="12.875" style="0" customWidth="1"/>
    <col min="8" max="8" width="12.25390625" style="0" customWidth="1"/>
    <col min="9" max="9" width="11.50390625" style="0" customWidth="1"/>
    <col min="10" max="10" width="13.875" style="0" customWidth="1"/>
    <col min="11" max="11" width="12.75390625" style="0" customWidth="1"/>
    <col min="12" max="12" width="13.875" style="4" customWidth="1"/>
    <col min="13" max="13" width="14.50390625" style="4" customWidth="1"/>
    <col min="14" max="14" width="1.37890625" style="4" customWidth="1"/>
    <col min="15" max="15" width="11.375" style="6" customWidth="1"/>
    <col min="16" max="16" width="9.875" style="4" bestFit="1" customWidth="1"/>
    <col min="17" max="17" width="9.875" style="0" bestFit="1" customWidth="1"/>
  </cols>
  <sheetData>
    <row r="2" spans="1:4" ht="13.5">
      <c r="A2" s="125" t="s">
        <v>61</v>
      </c>
      <c r="B2" s="130" t="s">
        <v>11</v>
      </c>
      <c r="C2" s="9" t="s">
        <v>9</v>
      </c>
      <c r="D2" s="11">
        <v>108</v>
      </c>
    </row>
    <row r="3" spans="1:4" ht="13.5">
      <c r="A3" s="125"/>
      <c r="B3" s="130"/>
      <c r="C3" s="9" t="s">
        <v>58</v>
      </c>
      <c r="D3" s="9">
        <v>118</v>
      </c>
    </row>
    <row r="4" spans="1:4" ht="13.5">
      <c r="A4" s="125"/>
      <c r="B4" s="130"/>
      <c r="C4" s="9" t="s">
        <v>59</v>
      </c>
      <c r="D4" s="9">
        <v>81</v>
      </c>
    </row>
    <row r="5" spans="1:4" ht="13.5">
      <c r="A5" s="125"/>
      <c r="B5" s="130"/>
      <c r="C5" s="9"/>
      <c r="D5" s="9"/>
    </row>
    <row r="6" spans="1:5" ht="13.5">
      <c r="A6" s="126" t="s">
        <v>62</v>
      </c>
      <c r="B6" s="130" t="s">
        <v>8</v>
      </c>
      <c r="C6" s="130"/>
      <c r="D6" s="10">
        <f>'諸元'!D5</f>
        <v>0.03</v>
      </c>
      <c r="E6" s="2"/>
    </row>
    <row r="7" spans="1:4" ht="13.5">
      <c r="A7" s="126"/>
      <c r="B7" s="130" t="s">
        <v>60</v>
      </c>
      <c r="C7" s="9" t="s">
        <v>1</v>
      </c>
      <c r="D7" s="9" t="s">
        <v>3</v>
      </c>
    </row>
    <row r="8" spans="1:4" ht="13.5">
      <c r="A8" s="126"/>
      <c r="B8" s="130"/>
      <c r="C8" s="9" t="s">
        <v>15</v>
      </c>
      <c r="D8" s="9">
        <v>10</v>
      </c>
    </row>
    <row r="9" spans="1:6" ht="13.5">
      <c r="A9" s="126"/>
      <c r="B9" s="130"/>
      <c r="C9" s="9" t="s">
        <v>16</v>
      </c>
      <c r="D9" s="9">
        <v>8</v>
      </c>
      <c r="E9" s="19"/>
      <c r="F9" s="19"/>
    </row>
    <row r="10" spans="1:5" ht="13.5">
      <c r="A10" s="126"/>
      <c r="B10" s="130"/>
      <c r="C10" s="9" t="s">
        <v>175</v>
      </c>
      <c r="D10" s="10">
        <v>0</v>
      </c>
      <c r="E10" s="2"/>
    </row>
    <row r="11" spans="1:5" ht="13.5">
      <c r="A11" s="126"/>
      <c r="B11" s="44" t="str">
        <f>'諸元'!B6</f>
        <v>固定資産税</v>
      </c>
      <c r="C11" s="9"/>
      <c r="D11" s="45">
        <f>'諸元'!D6</f>
        <v>0.0128</v>
      </c>
      <c r="E11" s="2"/>
    </row>
    <row r="12" spans="1:5" ht="13.5">
      <c r="A12" s="126"/>
      <c r="B12" s="44" t="str">
        <f>'諸元'!B7</f>
        <v>機体保険</v>
      </c>
      <c r="C12" s="9"/>
      <c r="D12" s="45">
        <f>'諸元'!D7</f>
        <v>0.0025</v>
      </c>
      <c r="E12" s="2"/>
    </row>
    <row r="13" spans="1:5" ht="13.5">
      <c r="A13" s="126"/>
      <c r="B13" s="146" t="s">
        <v>189</v>
      </c>
      <c r="C13" s="9" t="s">
        <v>63</v>
      </c>
      <c r="D13" s="10">
        <f>'諸元'!D16</f>
        <v>0.08</v>
      </c>
      <c r="E13" s="2"/>
    </row>
    <row r="14" spans="1:5" ht="13.5">
      <c r="A14" s="126"/>
      <c r="B14" s="147"/>
      <c r="C14" s="9" t="s">
        <v>64</v>
      </c>
      <c r="D14" s="10">
        <f>'諸元'!D17</f>
        <v>0.05</v>
      </c>
      <c r="E14" s="2"/>
    </row>
    <row r="15" spans="2:17" ht="13.5">
      <c r="B15" s="1"/>
      <c r="K15" s="21"/>
      <c r="L15" s="20"/>
      <c r="M15" s="20"/>
      <c r="N15" s="5"/>
      <c r="O15" s="149" t="s">
        <v>65</v>
      </c>
      <c r="P15" s="149"/>
      <c r="Q15" s="150"/>
    </row>
    <row r="16" spans="2:17" ht="13.5">
      <c r="B16" s="1"/>
      <c r="D16" s="152" t="s">
        <v>75</v>
      </c>
      <c r="E16" s="152"/>
      <c r="K16" s="24" t="s">
        <v>73</v>
      </c>
      <c r="L16" s="20"/>
      <c r="M16" s="20"/>
      <c r="N16" s="5"/>
      <c r="O16" s="151" t="s">
        <v>121</v>
      </c>
      <c r="P16" s="143"/>
      <c r="Q16" s="9" t="s">
        <v>120</v>
      </c>
    </row>
    <row r="17" spans="2:17" s="7" customFormat="1" ht="13.5">
      <c r="B17" s="8"/>
      <c r="C17" s="8" t="s">
        <v>0</v>
      </c>
      <c r="D17" s="8" t="s">
        <v>78</v>
      </c>
      <c r="E17" s="8" t="s">
        <v>77</v>
      </c>
      <c r="F17" s="8" t="s">
        <v>4</v>
      </c>
      <c r="G17" s="8" t="s">
        <v>12</v>
      </c>
      <c r="H17" s="8" t="s">
        <v>162</v>
      </c>
      <c r="I17" s="8" t="s">
        <v>163</v>
      </c>
      <c r="J17" s="8" t="s">
        <v>5</v>
      </c>
      <c r="K17" s="8" t="s">
        <v>74</v>
      </c>
      <c r="L17" s="25" t="s">
        <v>18</v>
      </c>
      <c r="M17" s="25" t="s">
        <v>19</v>
      </c>
      <c r="N17" s="24"/>
      <c r="O17" s="26" t="str">
        <f>'燃費費想定'!D4</f>
        <v>ガロン/1時間</v>
      </c>
      <c r="P17" s="16" t="str">
        <f>'燃費費想定'!E4</f>
        <v>円/1時間</v>
      </c>
      <c r="Q17" s="25" t="str">
        <f>'燃費費想定'!F4</f>
        <v>円/1時間</v>
      </c>
    </row>
    <row r="18" spans="2:17" ht="13.5">
      <c r="B18" s="130" t="s">
        <v>6</v>
      </c>
      <c r="C18" s="9" t="s">
        <v>13</v>
      </c>
      <c r="D18" s="12">
        <f>'機体諸元'!E4</f>
        <v>228000</v>
      </c>
      <c r="E18" s="12">
        <f>'機体諸元'!F4</f>
        <v>27132000</v>
      </c>
      <c r="F18" s="12">
        <f>E18*(1-$D$10)/$D$9</f>
        <v>3391500</v>
      </c>
      <c r="G18" s="12">
        <f>E18*$D$6</f>
        <v>813960</v>
      </c>
      <c r="H18" s="12">
        <f>E18*$D$11</f>
        <v>347289.60000000003</v>
      </c>
      <c r="I18" s="12">
        <f>E18*$D$12</f>
        <v>67830</v>
      </c>
      <c r="J18" s="12">
        <f>SUM(F18:I18)</f>
        <v>4620579.6</v>
      </c>
      <c r="K18" s="12">
        <f>'機体諸元'!H4</f>
        <v>1000</v>
      </c>
      <c r="L18" s="12">
        <f>J18/K18</f>
        <v>4620.5796</v>
      </c>
      <c r="M18" s="12">
        <f>'整備費想定'!H7</f>
        <v>2170.56</v>
      </c>
      <c r="N18" s="12"/>
      <c r="O18" s="13">
        <f>'燃費費想定'!D5</f>
        <v>10</v>
      </c>
      <c r="P18" s="12">
        <f>'燃費費想定'!E5</f>
        <v>6997.2</v>
      </c>
      <c r="Q18" s="11">
        <f>'燃費費想定'!F5</f>
        <v>7678.5</v>
      </c>
    </row>
    <row r="19" spans="2:17" ht="13.5">
      <c r="B19" s="130"/>
      <c r="C19" s="9" t="s">
        <v>14</v>
      </c>
      <c r="D19" s="12">
        <f>'機体諸元'!E5</f>
        <v>53500</v>
      </c>
      <c r="E19" s="12">
        <f>'機体諸元'!F5</f>
        <v>6366500</v>
      </c>
      <c r="F19" s="12">
        <f>E19*(1-$D$10)/$D$9</f>
        <v>795812.5</v>
      </c>
      <c r="G19" s="12">
        <f>E19*$D$6</f>
        <v>190995</v>
      </c>
      <c r="H19" s="12">
        <f>E19*$D$11</f>
        <v>81491.2</v>
      </c>
      <c r="I19" s="12">
        <f>E19*$D$12</f>
        <v>15916.25</v>
      </c>
      <c r="J19" s="12">
        <f>SUM(F19:I19)</f>
        <v>1084214.95</v>
      </c>
      <c r="K19" s="12">
        <f>'機体諸元'!H5</f>
        <v>1000</v>
      </c>
      <c r="L19" s="12">
        <f>J19/K19</f>
        <v>1084.21495</v>
      </c>
      <c r="M19" s="12">
        <f>'整備費想定'!H8</f>
        <v>509.32</v>
      </c>
      <c r="N19" s="12"/>
      <c r="O19" s="13">
        <f>'燃費費想定'!D6</f>
        <v>9</v>
      </c>
      <c r="P19" s="12">
        <f>'燃費費想定'!E6</f>
        <v>6297.48</v>
      </c>
      <c r="Q19" s="11">
        <f>'燃費費想定'!F6</f>
        <v>6910.649999999999</v>
      </c>
    </row>
    <row r="20" spans="2:17" ht="5.25" customHeight="1">
      <c r="B20" s="9"/>
      <c r="C20" s="9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  <c r="P20" s="12"/>
      <c r="Q20" s="11"/>
    </row>
    <row r="21" spans="2:17" ht="13.5" customHeight="1">
      <c r="B21" s="108" t="s">
        <v>55</v>
      </c>
      <c r="C21" s="9" t="s">
        <v>17</v>
      </c>
      <c r="D21" s="12">
        <f>'機体諸元'!E7</f>
        <v>1725000</v>
      </c>
      <c r="E21" s="12">
        <f>'機体諸元'!F7</f>
        <v>205275000</v>
      </c>
      <c r="F21" s="12">
        <f>E21*(1-$D$10)/$D$9</f>
        <v>25659375</v>
      </c>
      <c r="G21" s="12">
        <f>E21*$D$6</f>
        <v>6158250</v>
      </c>
      <c r="H21" s="12">
        <f>E21*$D$11</f>
        <v>2627520</v>
      </c>
      <c r="I21" s="12">
        <f>E21*$D$12</f>
        <v>513187.5</v>
      </c>
      <c r="J21" s="12">
        <f>SUM(F21:I21)</f>
        <v>34958332.5</v>
      </c>
      <c r="K21" s="12">
        <f>'機体諸元'!H7</f>
        <v>1000</v>
      </c>
      <c r="L21" s="12">
        <f>J21/K21</f>
        <v>34958.3325</v>
      </c>
      <c r="M21" s="12">
        <f>'整備費想定'!H10</f>
        <v>16422</v>
      </c>
      <c r="N21" s="12"/>
      <c r="O21" s="13">
        <f>'燃費費想定'!D8</f>
        <v>80</v>
      </c>
      <c r="P21" s="12">
        <f>'燃費費想定'!E8</f>
        <v>47296.40779874214</v>
      </c>
      <c r="Q21" s="11">
        <f>'燃費費想定'!F8</f>
        <v>52746.80779874214</v>
      </c>
    </row>
    <row r="22" spans="2:17" ht="6.75" customHeight="1">
      <c r="B22" s="9"/>
      <c r="C22" s="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  <c r="P22" s="12"/>
      <c r="Q22" s="11"/>
    </row>
    <row r="23" spans="2:17" ht="5.25" customHeight="1">
      <c r="B23" s="9"/>
      <c r="C23" s="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  <c r="P23" s="12"/>
      <c r="Q23" s="11"/>
    </row>
    <row r="24" spans="2:17" ht="13.5">
      <c r="B24" s="130" t="s">
        <v>30</v>
      </c>
      <c r="C24" s="9" t="s">
        <v>28</v>
      </c>
      <c r="D24" s="12">
        <f>'機体諸元'!E10</f>
        <v>250000000</v>
      </c>
      <c r="E24" s="12">
        <f>'機体諸元'!F10</f>
        <v>29750000000</v>
      </c>
      <c r="F24" s="12">
        <f>E24*(1-$D$10)/$D$8</f>
        <v>2975000000</v>
      </c>
      <c r="G24" s="12">
        <f>E24*$D$6</f>
        <v>892500000</v>
      </c>
      <c r="H24" s="12">
        <f>E24*$D$11</f>
        <v>380800000</v>
      </c>
      <c r="I24" s="12">
        <f>E24*$D$12</f>
        <v>74375000</v>
      </c>
      <c r="J24" s="12">
        <f>SUM(F24:I24)</f>
        <v>4322675000</v>
      </c>
      <c r="K24" s="12">
        <f>'機体諸元'!H10</f>
        <v>3000</v>
      </c>
      <c r="L24" s="12">
        <f>J24/K24</f>
        <v>1440891.6666666667</v>
      </c>
      <c r="M24" s="12">
        <f>'整備費想定'!H16</f>
        <v>793333.3333333334</v>
      </c>
      <c r="N24" s="12"/>
      <c r="O24" s="13">
        <f>'燃費費想定'!D11</f>
        <v>4473.9</v>
      </c>
      <c r="P24" s="12">
        <f>'燃費費想定'!E11</f>
        <v>2644992.4856349053</v>
      </c>
      <c r="Q24" s="11">
        <f>'燃費費想定'!F11</f>
        <v>2949799.2926349053</v>
      </c>
    </row>
    <row r="25" spans="2:17" ht="13.5">
      <c r="B25" s="130"/>
      <c r="C25" s="9" t="s">
        <v>26</v>
      </c>
      <c r="D25" s="12">
        <f>'機体諸元'!E11</f>
        <v>80000000</v>
      </c>
      <c r="E25" s="12">
        <f>'機体諸元'!F11</f>
        <v>9520000000</v>
      </c>
      <c r="F25" s="12">
        <f>E25*(1-$D$10)/$D$8</f>
        <v>952000000</v>
      </c>
      <c r="G25" s="12">
        <f>E25*$D$6</f>
        <v>285600000</v>
      </c>
      <c r="H25" s="12">
        <f>E25*$D$11</f>
        <v>121856000</v>
      </c>
      <c r="I25" s="12">
        <f>E25*$D$12</f>
        <v>23800000</v>
      </c>
      <c r="J25" s="12">
        <f>SUM(F25:I25)</f>
        <v>1383256000</v>
      </c>
      <c r="K25" s="12">
        <f>'機体諸元'!H11</f>
        <v>2000</v>
      </c>
      <c r="L25" s="12">
        <f>J25/K25</f>
        <v>691628</v>
      </c>
      <c r="M25" s="12">
        <f>'整備費想定'!H17</f>
        <v>380800</v>
      </c>
      <c r="N25" s="12"/>
      <c r="O25" s="13">
        <f>'燃費費想定'!D12</f>
        <v>1168.3</v>
      </c>
      <c r="P25" s="12">
        <f>'燃費費想定'!E12</f>
        <v>690704.9153908805</v>
      </c>
      <c r="Q25" s="11">
        <f>'燃費費想定'!F12</f>
        <v>770301.1943908806</v>
      </c>
    </row>
    <row r="26" spans="2:17" ht="13.5">
      <c r="B26" s="130"/>
      <c r="C26" s="9" t="s">
        <v>27</v>
      </c>
      <c r="D26" s="12">
        <f>'機体諸元'!E12</f>
        <v>150000000</v>
      </c>
      <c r="E26" s="12">
        <f>'機体諸元'!F12</f>
        <v>17850000000</v>
      </c>
      <c r="F26" s="12">
        <f>E26*(1-$D$10)/$D$8</f>
        <v>1785000000</v>
      </c>
      <c r="G26" s="12">
        <f>E26*$D$6</f>
        <v>535500000</v>
      </c>
      <c r="H26" s="12">
        <f>E26*$D$11</f>
        <v>228480000</v>
      </c>
      <c r="I26" s="12">
        <f>E26*$D$12</f>
        <v>44625000</v>
      </c>
      <c r="J26" s="12">
        <f>SUM(F26:I26)</f>
        <v>2593605000</v>
      </c>
      <c r="K26" s="12">
        <f>'機体諸元'!H12</f>
        <v>2500</v>
      </c>
      <c r="L26" s="12">
        <f>J26/K26</f>
        <v>1037442</v>
      </c>
      <c r="M26" s="12">
        <f>'整備費想定'!H18</f>
        <v>571200</v>
      </c>
      <c r="N26" s="12"/>
      <c r="O26" s="13">
        <f>'燃費費想定'!D13</f>
        <v>2121.8</v>
      </c>
      <c r="P26" s="12">
        <f>'燃費費想定'!E13</f>
        <v>1254418.9758421385</v>
      </c>
      <c r="Q26" s="11">
        <f>'燃費費想定'!F13</f>
        <v>1398977.2098421385</v>
      </c>
    </row>
    <row r="27" spans="2:17" ht="13.5">
      <c r="B27" s="130"/>
      <c r="C27" s="9" t="s">
        <v>25</v>
      </c>
      <c r="D27" s="12">
        <f>'機体諸元'!E13</f>
        <v>270000000</v>
      </c>
      <c r="E27" s="12">
        <f>'機体諸元'!F13</f>
        <v>32130000000</v>
      </c>
      <c r="F27" s="12">
        <f>E27*(1-$D$10)/$D$8</f>
        <v>3213000000</v>
      </c>
      <c r="G27" s="12">
        <f>E27*$D$6</f>
        <v>963900000</v>
      </c>
      <c r="H27" s="12">
        <f>E27*$D$11</f>
        <v>411264000</v>
      </c>
      <c r="I27" s="12">
        <f>E27*$D$12</f>
        <v>80325000</v>
      </c>
      <c r="J27" s="12">
        <f>SUM(F27:I27)</f>
        <v>4668489000</v>
      </c>
      <c r="K27" s="12">
        <f>'機体諸元'!H13</f>
        <v>2500</v>
      </c>
      <c r="L27" s="12">
        <f>J27/K27</f>
        <v>1867395.6</v>
      </c>
      <c r="M27" s="12">
        <f>'整備費想定'!H19</f>
        <v>1028160</v>
      </c>
      <c r="N27" s="12"/>
      <c r="O27" s="13">
        <f>'燃費費想定'!D14</f>
        <v>4183.7</v>
      </c>
      <c r="P27" s="12">
        <f>'燃費費想定'!E14</f>
        <v>2473424.7663449687</v>
      </c>
      <c r="Q27" s="11">
        <f>'燃費費想定'!F14</f>
        <v>2758460.247344969</v>
      </c>
    </row>
    <row r="28" spans="2:17" ht="13.5">
      <c r="B28" s="130"/>
      <c r="C28" s="9" t="s">
        <v>29</v>
      </c>
      <c r="D28" s="12">
        <f>'機体諸元'!E14</f>
        <v>165000000</v>
      </c>
      <c r="E28" s="12">
        <f>'機体諸元'!F14</f>
        <v>19635000000</v>
      </c>
      <c r="F28" s="12">
        <f>E28*(1-$D$10)/$D$8</f>
        <v>1963500000</v>
      </c>
      <c r="G28" s="12">
        <f>E28*$D$6</f>
        <v>589050000</v>
      </c>
      <c r="H28" s="12">
        <f>E28*$D$11</f>
        <v>251328000</v>
      </c>
      <c r="I28" s="12">
        <f>E28*$D$12</f>
        <v>49087500</v>
      </c>
      <c r="J28" s="12">
        <f>SUM(F28:I28)</f>
        <v>2852965500</v>
      </c>
      <c r="K28" s="12">
        <f>'機体諸元'!H14</f>
        <v>2500</v>
      </c>
      <c r="L28" s="12">
        <f>J28/K28</f>
        <v>1141186.2</v>
      </c>
      <c r="M28" s="12">
        <f>'整備費想定'!H20</f>
        <v>628320</v>
      </c>
      <c r="N28" s="12"/>
      <c r="O28" s="13">
        <f>'燃費費想定'!D15</f>
        <v>2000</v>
      </c>
      <c r="P28" s="12">
        <f>'燃費費想定'!E15</f>
        <v>1182410.1949685535</v>
      </c>
      <c r="Q28" s="11">
        <f>'燃費費想定'!F15</f>
        <v>1318670.1949685535</v>
      </c>
    </row>
    <row r="29" spans="4:11" ht="6" customHeight="1">
      <c r="D29" s="4"/>
      <c r="E29" s="4"/>
      <c r="F29" s="4"/>
      <c r="G29" s="4"/>
      <c r="H29" s="4"/>
      <c r="I29" s="4"/>
      <c r="J29" s="4"/>
      <c r="K29" s="4"/>
    </row>
    <row r="30" spans="4:16" s="7" customFormat="1" ht="13.5">
      <c r="D30" s="152" t="s">
        <v>75</v>
      </c>
      <c r="E30" s="152"/>
      <c r="F30" s="5"/>
      <c r="G30" s="5"/>
      <c r="H30" s="5"/>
      <c r="I30" s="5"/>
      <c r="J30" s="5"/>
      <c r="K30" s="24" t="s">
        <v>73</v>
      </c>
      <c r="L30" s="5"/>
      <c r="M30" s="17" t="s">
        <v>67</v>
      </c>
      <c r="N30" s="5"/>
      <c r="O30" s="148"/>
      <c r="P30" s="148"/>
    </row>
    <row r="31" spans="2:16" s="7" customFormat="1" ht="13.5">
      <c r="B31" s="130" t="s">
        <v>54</v>
      </c>
      <c r="C31" s="8" t="s">
        <v>0</v>
      </c>
      <c r="D31" s="8" t="s">
        <v>76</v>
      </c>
      <c r="E31" s="8" t="s">
        <v>77</v>
      </c>
      <c r="F31" s="8" t="s">
        <v>4</v>
      </c>
      <c r="G31" s="8" t="s">
        <v>12</v>
      </c>
      <c r="H31" s="8" t="s">
        <v>162</v>
      </c>
      <c r="I31" s="8" t="s">
        <v>164</v>
      </c>
      <c r="J31" s="8" t="s">
        <v>5</v>
      </c>
      <c r="K31" s="8" t="s">
        <v>74</v>
      </c>
      <c r="L31" s="25" t="s">
        <v>18</v>
      </c>
      <c r="M31" s="25" t="s">
        <v>68</v>
      </c>
      <c r="N31" s="27"/>
      <c r="O31" s="28"/>
      <c r="P31" s="29"/>
    </row>
    <row r="32" spans="2:13" ht="13.5">
      <c r="B32" s="130"/>
      <c r="C32" s="9" t="s">
        <v>72</v>
      </c>
      <c r="D32" s="12">
        <f>'機体諸元'!E17</f>
        <v>18000000</v>
      </c>
      <c r="E32" s="12">
        <f>'機体諸元'!F17</f>
        <v>1674000000</v>
      </c>
      <c r="F32" s="12">
        <f>E32*(1-$D$10)/$D$8</f>
        <v>167400000</v>
      </c>
      <c r="G32" s="12">
        <f>E32*$D$6</f>
        <v>50220000</v>
      </c>
      <c r="H32" s="12">
        <f>E32*$D$11</f>
        <v>21427200</v>
      </c>
      <c r="I32" s="12">
        <v>0</v>
      </c>
      <c r="J32" s="12">
        <f>SUM(F32:I32)</f>
        <v>239047200</v>
      </c>
      <c r="K32" s="12">
        <f>'機体諸元'!H17</f>
        <v>4000</v>
      </c>
      <c r="L32" s="12">
        <f>J32/K32</f>
        <v>59761.8</v>
      </c>
      <c r="M32" s="12">
        <f>E32*$D$14/K32</f>
        <v>20925</v>
      </c>
    </row>
    <row r="33" spans="2:13" ht="13.5">
      <c r="B33" s="130"/>
      <c r="C33" s="9" t="s">
        <v>71</v>
      </c>
      <c r="D33" s="12">
        <f>'機体諸元'!E18</f>
        <v>11000000</v>
      </c>
      <c r="E33" s="12">
        <f>'機体諸元'!F18</f>
        <v>1023000000</v>
      </c>
      <c r="F33" s="12">
        <f>E33*(1-$D$10)/$D$8</f>
        <v>102300000</v>
      </c>
      <c r="G33" s="12">
        <f>E33*$D$6</f>
        <v>30690000</v>
      </c>
      <c r="H33" s="12">
        <f>E33*$D$11</f>
        <v>13094400</v>
      </c>
      <c r="I33" s="12">
        <v>0</v>
      </c>
      <c r="J33" s="12">
        <f>SUM(F33:I33)</f>
        <v>146084400</v>
      </c>
      <c r="K33" s="12">
        <f>'機体諸元'!H18</f>
        <v>4000</v>
      </c>
      <c r="L33" s="12">
        <f>J33/K33</f>
        <v>36521.1</v>
      </c>
      <c r="M33" s="12">
        <f>E33*$D$14/K33</f>
        <v>12787.5</v>
      </c>
    </row>
    <row r="34" spans="2:13" ht="13.5">
      <c r="B34" s="130"/>
      <c r="C34" s="9" t="s">
        <v>138</v>
      </c>
      <c r="D34" s="12"/>
      <c r="E34" s="12">
        <f>'機体諸元'!F19</f>
        <v>2915550</v>
      </c>
      <c r="F34" s="12">
        <f>E34*(1-$D$10)/$D$8</f>
        <v>291555</v>
      </c>
      <c r="G34" s="12">
        <f>E34*$D$6</f>
        <v>87466.5</v>
      </c>
      <c r="H34" s="12">
        <f>E34*$D$11</f>
        <v>37319.04</v>
      </c>
      <c r="I34" s="12">
        <v>0</v>
      </c>
      <c r="J34" s="12">
        <f>SUM(F34:I34)</f>
        <v>416340.54</v>
      </c>
      <c r="K34" s="12">
        <f>'機体諸元'!H19</f>
        <v>1000</v>
      </c>
      <c r="L34" s="12">
        <f>J34/K34</f>
        <v>416.34054</v>
      </c>
      <c r="M34" s="12">
        <f>E34*$D$14/K34</f>
        <v>145.7775</v>
      </c>
    </row>
    <row r="35" spans="2:13" ht="13.5">
      <c r="B35" s="130"/>
      <c r="C35" s="9" t="s">
        <v>139</v>
      </c>
      <c r="D35" s="12"/>
      <c r="E35" s="12">
        <f>'機体諸元'!F20</f>
        <v>22058437.5</v>
      </c>
      <c r="F35" s="12">
        <f>E35*(1-$D$10)/$D$8</f>
        <v>2205843.75</v>
      </c>
      <c r="G35" s="12">
        <f>E35*$D$6</f>
        <v>661753.125</v>
      </c>
      <c r="H35" s="12">
        <f>E35*$D$11</f>
        <v>282348</v>
      </c>
      <c r="I35" s="12">
        <v>0</v>
      </c>
      <c r="J35" s="12">
        <f>SUM(F35:I35)</f>
        <v>3149944.875</v>
      </c>
      <c r="K35" s="12">
        <f>'機体諸元'!H20</f>
        <v>1000</v>
      </c>
      <c r="L35" s="12">
        <f>J35/K35</f>
        <v>3149.944875</v>
      </c>
      <c r="M35" s="12">
        <f>E35*$D$14/K35</f>
        <v>1102.921875</v>
      </c>
    </row>
    <row r="36" spans="4:11" ht="13.5">
      <c r="D36" s="4"/>
      <c r="E36" s="4"/>
      <c r="F36" s="4"/>
      <c r="G36" s="4"/>
      <c r="H36" s="4"/>
      <c r="I36" s="4"/>
      <c r="J36" s="4"/>
      <c r="K36" s="4"/>
    </row>
    <row r="37" spans="4:11" ht="13.5">
      <c r="D37" s="4"/>
      <c r="E37" s="4"/>
      <c r="F37" s="4"/>
      <c r="G37" s="4"/>
      <c r="H37" s="4"/>
      <c r="I37" s="4"/>
      <c r="J37" s="4"/>
      <c r="K37" s="4"/>
    </row>
    <row r="38" spans="4:11" ht="13.5">
      <c r="D38" s="4"/>
      <c r="E38" s="4"/>
      <c r="F38" s="4"/>
      <c r="G38" s="4"/>
      <c r="H38" s="4"/>
      <c r="I38" s="4"/>
      <c r="J38" s="4"/>
      <c r="K38" s="4"/>
    </row>
    <row r="39" spans="4:11" ht="13.5">
      <c r="D39" s="4"/>
      <c r="E39" s="4"/>
      <c r="F39" s="4"/>
      <c r="G39" s="4"/>
      <c r="H39" s="4"/>
      <c r="I39" s="4"/>
      <c r="J39" s="4"/>
      <c r="K39" s="4"/>
    </row>
    <row r="40" spans="4:11" ht="13.5">
      <c r="D40" s="4"/>
      <c r="E40" s="4"/>
      <c r="F40" s="4"/>
      <c r="G40" s="4"/>
      <c r="H40" s="4"/>
      <c r="I40" s="4"/>
      <c r="J40" s="4"/>
      <c r="K40" s="4"/>
    </row>
    <row r="41" spans="4:11" ht="13.5">
      <c r="D41" s="4"/>
      <c r="E41" s="4"/>
      <c r="F41" s="4"/>
      <c r="G41" s="4"/>
      <c r="H41" s="4"/>
      <c r="I41" s="4"/>
      <c r="J41" s="4"/>
      <c r="K41" s="4"/>
    </row>
    <row r="42" spans="4:11" ht="13.5">
      <c r="D42" s="4"/>
      <c r="E42" s="4"/>
      <c r="F42" s="4"/>
      <c r="G42" s="4"/>
      <c r="H42" s="4"/>
      <c r="I42" s="4"/>
      <c r="J42" s="4"/>
      <c r="K42" s="4"/>
    </row>
    <row r="43" spans="4:11" ht="13.5">
      <c r="D43" s="4"/>
      <c r="E43" s="4"/>
      <c r="F43" s="4"/>
      <c r="G43" s="4"/>
      <c r="H43" s="4"/>
      <c r="I43" s="4"/>
      <c r="J43" s="4"/>
      <c r="K43" s="4"/>
    </row>
    <row r="44" spans="4:5" ht="13.5">
      <c r="D44" s="3"/>
      <c r="E44" s="3"/>
    </row>
    <row r="45" spans="4:5" ht="13.5">
      <c r="D45" s="3"/>
      <c r="E45" s="3"/>
    </row>
  </sheetData>
  <sheetProtection/>
  <mergeCells count="14">
    <mergeCell ref="B31:B35"/>
    <mergeCell ref="B2:B5"/>
    <mergeCell ref="D30:E30"/>
    <mergeCell ref="D16:E16"/>
    <mergeCell ref="A2:A5"/>
    <mergeCell ref="B13:B14"/>
    <mergeCell ref="A6:A14"/>
    <mergeCell ref="O30:P30"/>
    <mergeCell ref="B7:B10"/>
    <mergeCell ref="B6:C6"/>
    <mergeCell ref="B24:B28"/>
    <mergeCell ref="B18:B19"/>
    <mergeCell ref="O15:Q15"/>
    <mergeCell ref="O16:P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&amp;C&amp;"ＭＳ Ｐゴシック,太字"&amp;16&amp;A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B1">
      <selection activeCell="I31" sqref="I31"/>
    </sheetView>
  </sheetViews>
  <sheetFormatPr defaultColWidth="9.00390625" defaultRowHeight="13.5"/>
  <cols>
    <col min="1" max="1" width="16.75390625" style="0" customWidth="1"/>
    <col min="2" max="2" width="16.375" style="0" customWidth="1"/>
    <col min="3" max="3" width="11.25390625" style="0" customWidth="1"/>
    <col min="4" max="4" width="16.375" style="0" customWidth="1"/>
    <col min="5" max="5" width="12.375" style="0" customWidth="1"/>
    <col min="6" max="8" width="13.625" style="0" customWidth="1"/>
    <col min="9" max="9" width="13.875" style="0" customWidth="1"/>
    <col min="10" max="10" width="12.75390625" style="0" customWidth="1"/>
    <col min="11" max="11" width="17.00390625" style="0" customWidth="1"/>
  </cols>
  <sheetData>
    <row r="3" spans="1:11" ht="13.5">
      <c r="A3" s="1"/>
      <c r="C3" s="152" t="s">
        <v>75</v>
      </c>
      <c r="D3" s="152"/>
      <c r="J3" s="24" t="s">
        <v>73</v>
      </c>
      <c r="K3" s="20"/>
    </row>
    <row r="4" spans="1:11" ht="13.5">
      <c r="A4" s="8"/>
      <c r="B4" s="8" t="s">
        <v>0</v>
      </c>
      <c r="C4" s="8" t="s">
        <v>78</v>
      </c>
      <c r="D4" s="8" t="s">
        <v>77</v>
      </c>
      <c r="E4" s="66" t="s">
        <v>4</v>
      </c>
      <c r="F4" s="66" t="s">
        <v>12</v>
      </c>
      <c r="G4" s="66" t="s">
        <v>162</v>
      </c>
      <c r="H4" s="66" t="s">
        <v>163</v>
      </c>
      <c r="I4" s="66" t="s">
        <v>5</v>
      </c>
      <c r="J4" s="8" t="s">
        <v>74</v>
      </c>
      <c r="K4" s="25" t="s">
        <v>18</v>
      </c>
    </row>
    <row r="5" spans="1:11" ht="13.5">
      <c r="A5" s="130" t="s">
        <v>6</v>
      </c>
      <c r="B5" s="14" t="s">
        <v>13</v>
      </c>
      <c r="C5" s="12">
        <f>'機材関連費用_まとめ'!D18</f>
        <v>228000</v>
      </c>
      <c r="D5" s="12">
        <f>'機材関連費用_まとめ'!E18</f>
        <v>27132000</v>
      </c>
      <c r="E5" s="35">
        <f>'機材関連費用_まとめ'!F18</f>
        <v>3391500</v>
      </c>
      <c r="F5" s="35">
        <f>'機材関連費用_まとめ'!G18</f>
        <v>813960</v>
      </c>
      <c r="G5" s="35">
        <f>'機材関連費用_まとめ'!H18</f>
        <v>347289.60000000003</v>
      </c>
      <c r="H5" s="35">
        <f>'機材関連費用_まとめ'!I18</f>
        <v>67830</v>
      </c>
      <c r="I5" s="35">
        <f>'機材関連費用_まとめ'!J18</f>
        <v>4620579.6</v>
      </c>
      <c r="J5" s="12">
        <f>'機材関連費用_まとめ'!K18</f>
        <v>1000</v>
      </c>
      <c r="K5" s="35">
        <f>'機材関連費用_まとめ'!L18</f>
        <v>4620.5796</v>
      </c>
    </row>
    <row r="6" spans="1:11" ht="13.5">
      <c r="A6" s="130"/>
      <c r="B6" s="14" t="s">
        <v>14</v>
      </c>
      <c r="C6" s="12">
        <f>'機材関連費用_まとめ'!D19</f>
        <v>53500</v>
      </c>
      <c r="D6" s="12">
        <f>'機材関連費用_まとめ'!E19</f>
        <v>6366500</v>
      </c>
      <c r="E6" s="35">
        <f>'機材関連費用_まとめ'!F19</f>
        <v>795812.5</v>
      </c>
      <c r="F6" s="35">
        <f>'機材関連費用_まとめ'!G19</f>
        <v>190995</v>
      </c>
      <c r="G6" s="35">
        <f>'機材関連費用_まとめ'!H19</f>
        <v>81491.2</v>
      </c>
      <c r="H6" s="35">
        <f>'機材関連費用_まとめ'!I19</f>
        <v>15916.25</v>
      </c>
      <c r="I6" s="35">
        <f>'機材関連費用_まとめ'!J19</f>
        <v>1084214.95</v>
      </c>
      <c r="J6" s="12">
        <f>'機材関連費用_まとめ'!K19</f>
        <v>1000</v>
      </c>
      <c r="K6" s="35">
        <f>'機材関連費用_まとめ'!L19</f>
        <v>1084.21495</v>
      </c>
    </row>
    <row r="7" spans="1:11" ht="13.5">
      <c r="A7" s="9"/>
      <c r="B7" s="9"/>
      <c r="C7" s="12"/>
      <c r="D7" s="12"/>
      <c r="E7" s="12"/>
      <c r="F7" s="12"/>
      <c r="G7" s="12"/>
      <c r="H7" s="12"/>
      <c r="I7" s="12"/>
      <c r="J7" s="12"/>
      <c r="K7" s="12"/>
    </row>
    <row r="8" spans="1:11" ht="13.5">
      <c r="A8" s="146" t="s">
        <v>55</v>
      </c>
      <c r="B8" s="14" t="s">
        <v>17</v>
      </c>
      <c r="C8" s="12">
        <f>'機材関連費用_まとめ'!D21</f>
        <v>1725000</v>
      </c>
      <c r="D8" s="12">
        <f>'機材関連費用_まとめ'!E21</f>
        <v>205275000</v>
      </c>
      <c r="E8" s="35">
        <f>'機材関連費用_まとめ'!F21</f>
        <v>25659375</v>
      </c>
      <c r="F8" s="35">
        <f>'機材関連費用_まとめ'!G21</f>
        <v>6158250</v>
      </c>
      <c r="G8" s="35">
        <f>'機材関連費用_まとめ'!H21</f>
        <v>2627520</v>
      </c>
      <c r="H8" s="35">
        <f>'機材関連費用_まとめ'!I21</f>
        <v>513187.5</v>
      </c>
      <c r="I8" s="35">
        <f>'機材関連費用_まとめ'!J21</f>
        <v>34958332.5</v>
      </c>
      <c r="J8" s="12">
        <f>'機材関連費用_まとめ'!K21</f>
        <v>1000</v>
      </c>
      <c r="K8" s="35">
        <f>'機材関連費用_まとめ'!L21</f>
        <v>34958.3325</v>
      </c>
    </row>
    <row r="9" spans="1:11" ht="13.5">
      <c r="A9" s="147"/>
      <c r="B9" s="9"/>
      <c r="C9" s="12"/>
      <c r="D9" s="12"/>
      <c r="E9" s="12"/>
      <c r="F9" s="12"/>
      <c r="G9" s="12"/>
      <c r="H9" s="12"/>
      <c r="I9" s="12"/>
      <c r="J9" s="12"/>
      <c r="K9" s="12"/>
    </row>
    <row r="10" spans="1:11" ht="13.5">
      <c r="A10" s="9"/>
      <c r="B10" s="9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3.5">
      <c r="A11" s="130" t="s">
        <v>7</v>
      </c>
      <c r="B11" s="9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3.5">
      <c r="A12" s="130"/>
      <c r="B12" s="9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3.5">
      <c r="A13" s="9"/>
      <c r="B13" s="9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3.5">
      <c r="A14" s="130" t="s">
        <v>30</v>
      </c>
      <c r="B14" s="14" t="s">
        <v>28</v>
      </c>
      <c r="C14" s="34">
        <f>'機材関連費用_まとめ'!D24</f>
        <v>250000000</v>
      </c>
      <c r="D14" s="34">
        <f>'機材関連費用_まとめ'!E24</f>
        <v>29750000000</v>
      </c>
      <c r="E14" s="84">
        <f>'機材関連費用_まとめ'!F24</f>
        <v>2975000000</v>
      </c>
      <c r="F14" s="84">
        <f>'機材関連費用_まとめ'!G24</f>
        <v>892500000</v>
      </c>
      <c r="G14" s="84">
        <f>'機材関連費用_まとめ'!H24</f>
        <v>380800000</v>
      </c>
      <c r="H14" s="84">
        <f>'機材関連費用_まとめ'!I24</f>
        <v>74375000</v>
      </c>
      <c r="I14" s="84">
        <f>'機材関連費用_まとめ'!J24</f>
        <v>4322675000</v>
      </c>
      <c r="J14" s="12">
        <f>'機材関連費用_まとめ'!K24</f>
        <v>3000</v>
      </c>
      <c r="K14" s="35">
        <f>'機材関連費用_まとめ'!L24</f>
        <v>1440891.6666666667</v>
      </c>
    </row>
    <row r="15" spans="1:11" ht="13.5">
      <c r="A15" s="130"/>
      <c r="B15" s="14" t="s">
        <v>26</v>
      </c>
      <c r="C15" s="34">
        <f>'機材関連費用_まとめ'!D25</f>
        <v>80000000</v>
      </c>
      <c r="D15" s="34">
        <f>'機材関連費用_まとめ'!E25</f>
        <v>9520000000</v>
      </c>
      <c r="E15" s="84">
        <f>'機材関連費用_まとめ'!F25</f>
        <v>952000000</v>
      </c>
      <c r="F15" s="84">
        <f>'機材関連費用_まとめ'!G25</f>
        <v>285600000</v>
      </c>
      <c r="G15" s="84">
        <f>'機材関連費用_まとめ'!H25</f>
        <v>121856000</v>
      </c>
      <c r="H15" s="84">
        <f>'機材関連費用_まとめ'!I25</f>
        <v>23800000</v>
      </c>
      <c r="I15" s="84">
        <f>'機材関連費用_まとめ'!J25</f>
        <v>1383256000</v>
      </c>
      <c r="J15" s="12">
        <f>'機材関連費用_まとめ'!K25</f>
        <v>2000</v>
      </c>
      <c r="K15" s="35">
        <f>'機材関連費用_まとめ'!L25</f>
        <v>691628</v>
      </c>
    </row>
    <row r="16" spans="1:11" ht="13.5">
      <c r="A16" s="130"/>
      <c r="B16" s="14" t="s">
        <v>27</v>
      </c>
      <c r="C16" s="34">
        <f>'機材関連費用_まとめ'!D26</f>
        <v>150000000</v>
      </c>
      <c r="D16" s="34">
        <f>'機材関連費用_まとめ'!E26</f>
        <v>17850000000</v>
      </c>
      <c r="E16" s="84">
        <f>'機材関連費用_まとめ'!F26</f>
        <v>1785000000</v>
      </c>
      <c r="F16" s="84">
        <f>'機材関連費用_まとめ'!G26</f>
        <v>535500000</v>
      </c>
      <c r="G16" s="84">
        <f>'機材関連費用_まとめ'!H26</f>
        <v>228480000</v>
      </c>
      <c r="H16" s="84">
        <f>'機材関連費用_まとめ'!I26</f>
        <v>44625000</v>
      </c>
      <c r="I16" s="84">
        <f>'機材関連費用_まとめ'!J26</f>
        <v>2593605000</v>
      </c>
      <c r="J16" s="12">
        <f>'機材関連費用_まとめ'!K26</f>
        <v>2500</v>
      </c>
      <c r="K16" s="35">
        <f>'機材関連費用_まとめ'!L26</f>
        <v>1037442</v>
      </c>
    </row>
    <row r="17" spans="1:11" ht="13.5">
      <c r="A17" s="130"/>
      <c r="B17" s="14" t="s">
        <v>25</v>
      </c>
      <c r="C17" s="34">
        <f>'機材関連費用_まとめ'!D27</f>
        <v>270000000</v>
      </c>
      <c r="D17" s="34">
        <f>'機材関連費用_まとめ'!E27</f>
        <v>32130000000</v>
      </c>
      <c r="E17" s="84">
        <f>'機材関連費用_まとめ'!F27</f>
        <v>3213000000</v>
      </c>
      <c r="F17" s="84">
        <f>'機材関連費用_まとめ'!G27</f>
        <v>963900000</v>
      </c>
      <c r="G17" s="84">
        <f>'機材関連費用_まとめ'!H27</f>
        <v>411264000</v>
      </c>
      <c r="H17" s="84">
        <f>'機材関連費用_まとめ'!I27</f>
        <v>80325000</v>
      </c>
      <c r="I17" s="84">
        <f>'機材関連費用_まとめ'!J27</f>
        <v>4668489000</v>
      </c>
      <c r="J17" s="12">
        <f>'機材関連費用_まとめ'!K27</f>
        <v>2500</v>
      </c>
      <c r="K17" s="35">
        <f>'機材関連費用_まとめ'!L27</f>
        <v>1867395.6</v>
      </c>
    </row>
    <row r="18" spans="1:11" ht="13.5">
      <c r="A18" s="130"/>
      <c r="B18" s="14" t="s">
        <v>29</v>
      </c>
      <c r="C18" s="34">
        <f>'機材関連費用_まとめ'!D28</f>
        <v>165000000</v>
      </c>
      <c r="D18" s="34">
        <f>'機材関連費用_まとめ'!E28</f>
        <v>19635000000</v>
      </c>
      <c r="E18" s="84">
        <f>'機材関連費用_まとめ'!F28</f>
        <v>1963500000</v>
      </c>
      <c r="F18" s="84">
        <f>'機材関連費用_まとめ'!G28</f>
        <v>589050000</v>
      </c>
      <c r="G18" s="84">
        <f>'機材関連費用_まとめ'!H28</f>
        <v>251328000</v>
      </c>
      <c r="H18" s="84">
        <f>'機材関連費用_まとめ'!I28</f>
        <v>49087500</v>
      </c>
      <c r="I18" s="84">
        <f>'機材関連費用_まとめ'!J28</f>
        <v>2852965500</v>
      </c>
      <c r="J18" s="12">
        <f>'機材関連費用_まとめ'!K28</f>
        <v>2500</v>
      </c>
      <c r="K18" s="35">
        <f>'機材関連費用_まとめ'!L28</f>
        <v>1141186.2</v>
      </c>
    </row>
    <row r="19" spans="3:11" ht="13.5">
      <c r="C19" s="4"/>
      <c r="D19" s="4"/>
      <c r="E19" s="4"/>
      <c r="F19" s="4"/>
      <c r="G19" s="4"/>
      <c r="H19" s="4"/>
      <c r="I19" s="4"/>
      <c r="J19" s="4"/>
      <c r="K19" s="4"/>
    </row>
    <row r="20" spans="1:11" ht="13.5">
      <c r="A20" s="7"/>
      <c r="B20" s="7"/>
      <c r="C20" s="152" t="s">
        <v>75</v>
      </c>
      <c r="D20" s="152"/>
      <c r="E20" s="5"/>
      <c r="F20" s="5"/>
      <c r="G20" s="5"/>
      <c r="H20" s="5"/>
      <c r="I20" s="5"/>
      <c r="J20" s="24" t="s">
        <v>73</v>
      </c>
      <c r="K20" s="5"/>
    </row>
    <row r="21" spans="1:11" ht="13.5">
      <c r="A21" s="130" t="s">
        <v>54</v>
      </c>
      <c r="B21" s="8" t="s">
        <v>0</v>
      </c>
      <c r="C21" s="8" t="s">
        <v>76</v>
      </c>
      <c r="D21" s="8" t="s">
        <v>77</v>
      </c>
      <c r="E21" s="66" t="s">
        <v>4</v>
      </c>
      <c r="F21" s="66" t="s">
        <v>12</v>
      </c>
      <c r="G21" s="66" t="s">
        <v>162</v>
      </c>
      <c r="H21" s="66" t="s">
        <v>164</v>
      </c>
      <c r="I21" s="66" t="s">
        <v>5</v>
      </c>
      <c r="J21" s="8" t="s">
        <v>74</v>
      </c>
      <c r="K21" s="25" t="s">
        <v>18</v>
      </c>
    </row>
    <row r="22" spans="1:11" ht="13.5">
      <c r="A22" s="130"/>
      <c r="B22" s="14" t="s">
        <v>72</v>
      </c>
      <c r="C22" s="12">
        <f>'機材関連費用_まとめ'!D32</f>
        <v>18000000</v>
      </c>
      <c r="D22" s="12">
        <f>'機材関連費用_まとめ'!E32</f>
        <v>1674000000</v>
      </c>
      <c r="E22" s="84">
        <f>'機材関連費用_まとめ'!F32</f>
        <v>167400000</v>
      </c>
      <c r="F22" s="84">
        <f>'機材関連費用_まとめ'!G32</f>
        <v>50220000</v>
      </c>
      <c r="G22" s="84">
        <f>'機材関連費用_まとめ'!H32</f>
        <v>21427200</v>
      </c>
      <c r="H22" s="84">
        <f>'機材関連費用_まとめ'!I32</f>
        <v>0</v>
      </c>
      <c r="I22" s="84">
        <f>'機材関連費用_まとめ'!J32</f>
        <v>239047200</v>
      </c>
      <c r="J22" s="12">
        <f>'機材関連費用_まとめ'!K32</f>
        <v>4000</v>
      </c>
      <c r="K22" s="35">
        <f>'機材関連費用_まとめ'!L32</f>
        <v>59761.8</v>
      </c>
    </row>
    <row r="23" spans="1:11" ht="13.5">
      <c r="A23" s="130"/>
      <c r="B23" s="14" t="s">
        <v>71</v>
      </c>
      <c r="C23" s="12">
        <f>'機材関連費用_まとめ'!D33</f>
        <v>11000000</v>
      </c>
      <c r="D23" s="12">
        <f>'機材関連費用_まとめ'!E33</f>
        <v>1023000000</v>
      </c>
      <c r="E23" s="84">
        <f>'機材関連費用_まとめ'!F33</f>
        <v>102300000</v>
      </c>
      <c r="F23" s="84">
        <f>'機材関連費用_まとめ'!G33</f>
        <v>30690000</v>
      </c>
      <c r="G23" s="84">
        <f>'機材関連費用_まとめ'!H33</f>
        <v>13094400</v>
      </c>
      <c r="H23" s="84">
        <f>'機材関連費用_まとめ'!I33</f>
        <v>0</v>
      </c>
      <c r="I23" s="84">
        <f>'機材関連費用_まとめ'!J33</f>
        <v>146084400</v>
      </c>
      <c r="J23" s="12">
        <f>'機材関連費用_まとめ'!K33</f>
        <v>4000</v>
      </c>
      <c r="K23" s="35">
        <f>'機材関連費用_まとめ'!L33</f>
        <v>36521.1</v>
      </c>
    </row>
    <row r="24" spans="1:11" ht="13.5">
      <c r="A24" s="130"/>
      <c r="B24" s="14" t="s">
        <v>138</v>
      </c>
      <c r="C24" s="12"/>
      <c r="D24" s="12">
        <f>'機材関連費用_まとめ'!E34</f>
        <v>2915550</v>
      </c>
      <c r="E24" s="84">
        <f>'機材関連費用_まとめ'!F34</f>
        <v>291555</v>
      </c>
      <c r="F24" s="84">
        <f>'機材関連費用_まとめ'!G34</f>
        <v>87466.5</v>
      </c>
      <c r="G24" s="84">
        <f>'機材関連費用_まとめ'!H34</f>
        <v>37319.04</v>
      </c>
      <c r="H24" s="84">
        <f>'機材関連費用_まとめ'!I34</f>
        <v>0</v>
      </c>
      <c r="I24" s="84">
        <f>'機材関連費用_まとめ'!J34</f>
        <v>416340.54</v>
      </c>
      <c r="J24" s="12">
        <f>'機材関連費用_まとめ'!K34</f>
        <v>1000</v>
      </c>
      <c r="K24" s="35">
        <f>'機材関連費用_まとめ'!L34</f>
        <v>416.34054</v>
      </c>
    </row>
    <row r="25" spans="1:11" ht="13.5">
      <c r="A25" s="130"/>
      <c r="B25" s="14" t="s">
        <v>139</v>
      </c>
      <c r="C25" s="12"/>
      <c r="D25" s="12">
        <f>'機材関連費用_まとめ'!E35</f>
        <v>22058437.5</v>
      </c>
      <c r="E25" s="84">
        <f>'機材関連費用_まとめ'!F35</f>
        <v>2205843.75</v>
      </c>
      <c r="F25" s="84">
        <f>'機材関連費用_まとめ'!G35</f>
        <v>661753.125</v>
      </c>
      <c r="G25" s="84">
        <f>'機材関連費用_まとめ'!H35</f>
        <v>282348</v>
      </c>
      <c r="H25" s="84">
        <f>'機材関連費用_まとめ'!I35</f>
        <v>0</v>
      </c>
      <c r="I25" s="84">
        <f>'機材関連費用_まとめ'!J35</f>
        <v>3149944.875</v>
      </c>
      <c r="J25" s="12">
        <f>'機材関連費用_まとめ'!K35</f>
        <v>1000</v>
      </c>
      <c r="K25" s="35">
        <f>'機材関連費用_まとめ'!L35</f>
        <v>3149.944875</v>
      </c>
    </row>
  </sheetData>
  <sheetProtection/>
  <mergeCells count="7">
    <mergeCell ref="A14:A18"/>
    <mergeCell ref="C20:D20"/>
    <mergeCell ref="A21:A25"/>
    <mergeCell ref="C3:D3"/>
    <mergeCell ref="A5:A6"/>
    <mergeCell ref="A8:A9"/>
    <mergeCell ref="A11:A12"/>
  </mergeCells>
  <printOptions/>
  <pageMargins left="0.3937007874015748" right="0.1968503937007874" top="1.5748031496062993" bottom="0.984251968503937" header="0.5118110236220472" footer="0.5118110236220472"/>
  <pageSetup horizontalDpi="300" verticalDpi="300" orientation="landscape" paperSize="9" r:id="rId1"/>
  <headerFooter alignWithMargins="0">
    <oddHeader>&amp;C&amp;"ＭＳ Ｐゴシック,太字"&amp;18&amp;A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4">
      <selection activeCell="I28" sqref="I28"/>
    </sheetView>
  </sheetViews>
  <sheetFormatPr defaultColWidth="9.00390625" defaultRowHeight="13.5"/>
  <cols>
    <col min="2" max="2" width="12.875" style="0" customWidth="1"/>
    <col min="3" max="3" width="12.25390625" style="0" customWidth="1"/>
    <col min="4" max="5" width="12.75390625" style="0" customWidth="1"/>
    <col min="6" max="6" width="17.875" style="0" customWidth="1"/>
    <col min="7" max="7" width="0.875" style="0" customWidth="1"/>
  </cols>
  <sheetData>
    <row r="1" spans="1:8" ht="14.25">
      <c r="A1" s="61" t="s">
        <v>97</v>
      </c>
      <c r="B1" s="32"/>
      <c r="H1" s="46" t="s">
        <v>141</v>
      </c>
    </row>
    <row r="2" spans="1:16" ht="13.5">
      <c r="A2" t="s">
        <v>95</v>
      </c>
      <c r="H2" s="125" t="s">
        <v>155</v>
      </c>
      <c r="I2" s="125"/>
      <c r="J2" s="125"/>
      <c r="K2" s="125"/>
      <c r="L2" s="125"/>
      <c r="M2" s="125"/>
      <c r="N2" s="125"/>
      <c r="O2" s="155" t="s">
        <v>156</v>
      </c>
      <c r="P2" s="155"/>
    </row>
    <row r="3" spans="1:16" ht="13.5">
      <c r="A3" t="s">
        <v>96</v>
      </c>
      <c r="H3" s="126" t="s">
        <v>153</v>
      </c>
      <c r="I3" s="158" t="s">
        <v>154</v>
      </c>
      <c r="J3" s="158"/>
      <c r="K3" s="158"/>
      <c r="L3" s="158"/>
      <c r="M3" s="158"/>
      <c r="N3" s="158"/>
      <c r="O3" s="157" t="s">
        <v>157</v>
      </c>
      <c r="P3" s="157"/>
    </row>
    <row r="4" spans="8:16" ht="13.5">
      <c r="H4" s="126"/>
      <c r="I4" s="125" t="s">
        <v>142</v>
      </c>
      <c r="J4" s="125"/>
      <c r="K4" s="125"/>
      <c r="L4" s="125" t="s">
        <v>147</v>
      </c>
      <c r="M4" s="125"/>
      <c r="N4" s="126" t="s">
        <v>150</v>
      </c>
      <c r="O4" s="157"/>
      <c r="P4" s="157"/>
    </row>
    <row r="5" spans="8:16" ht="13.5">
      <c r="H5" s="126"/>
      <c r="I5" s="125" t="s">
        <v>143</v>
      </c>
      <c r="J5" s="125"/>
      <c r="K5" s="125"/>
      <c r="L5" s="9" t="s">
        <v>148</v>
      </c>
      <c r="M5" s="9"/>
      <c r="N5" s="126"/>
      <c r="O5" s="157"/>
      <c r="P5" s="157"/>
    </row>
    <row r="6" spans="1:16" ht="12.75" customHeight="1">
      <c r="A6" s="46" t="s">
        <v>33</v>
      </c>
      <c r="H6" s="126"/>
      <c r="I6" s="8" t="s">
        <v>144</v>
      </c>
      <c r="J6" s="8" t="s">
        <v>146</v>
      </c>
      <c r="K6" s="8" t="s">
        <v>145</v>
      </c>
      <c r="L6" s="8" t="s">
        <v>149</v>
      </c>
      <c r="M6" s="8" t="s">
        <v>102</v>
      </c>
      <c r="N6" s="126"/>
      <c r="O6" s="8" t="s">
        <v>158</v>
      </c>
      <c r="P6" s="8" t="s">
        <v>159</v>
      </c>
    </row>
    <row r="7" spans="1:16" s="7" customFormat="1" ht="13.5">
      <c r="A7" s="125" t="s">
        <v>88</v>
      </c>
      <c r="B7" s="8" t="s">
        <v>83</v>
      </c>
      <c r="C7" s="8" t="s">
        <v>84</v>
      </c>
      <c r="D7" s="8" t="s">
        <v>86</v>
      </c>
      <c r="E7" s="8" t="s">
        <v>85</v>
      </c>
      <c r="F7" s="8" t="s">
        <v>89</v>
      </c>
      <c r="H7" s="158" t="s">
        <v>151</v>
      </c>
      <c r="I7" s="158"/>
      <c r="J7" s="158"/>
      <c r="K7" s="158"/>
      <c r="L7" s="125" t="s">
        <v>152</v>
      </c>
      <c r="M7" s="125"/>
      <c r="N7" s="8" t="s">
        <v>151</v>
      </c>
      <c r="O7" s="125" t="s">
        <v>152</v>
      </c>
      <c r="P7" s="125"/>
    </row>
    <row r="8" spans="1:16" ht="13.5">
      <c r="A8" s="125"/>
      <c r="B8" s="159" t="s">
        <v>87</v>
      </c>
      <c r="C8" s="159"/>
      <c r="D8" s="159"/>
      <c r="E8" s="159"/>
      <c r="F8" s="9" t="s">
        <v>90</v>
      </c>
      <c r="H8" s="43">
        <v>120</v>
      </c>
      <c r="I8" s="11">
        <v>950</v>
      </c>
      <c r="J8" s="43">
        <v>1180</v>
      </c>
      <c r="K8" s="11">
        <v>1670</v>
      </c>
      <c r="L8" s="11">
        <v>180000</v>
      </c>
      <c r="M8" s="11">
        <v>207700</v>
      </c>
      <c r="N8" s="11">
        <v>780</v>
      </c>
      <c r="O8" s="43">
        <v>89000</v>
      </c>
      <c r="P8" s="11">
        <v>16000</v>
      </c>
    </row>
    <row r="9" spans="1:6" s="3" customFormat="1" ht="13.5">
      <c r="A9" s="125"/>
      <c r="B9" s="11">
        <v>1000</v>
      </c>
      <c r="C9" s="11">
        <v>1400</v>
      </c>
      <c r="D9" s="11">
        <v>1550</v>
      </c>
      <c r="E9" s="11">
        <v>1650</v>
      </c>
      <c r="F9" s="11">
        <v>3400</v>
      </c>
    </row>
    <row r="10" ht="6.75" customHeight="1"/>
    <row r="11" spans="1:5" s="7" customFormat="1" ht="13.5">
      <c r="A11" s="126" t="s">
        <v>94</v>
      </c>
      <c r="B11" s="8" t="s">
        <v>91</v>
      </c>
      <c r="C11" s="125" t="s">
        <v>115</v>
      </c>
      <c r="D11" s="125"/>
      <c r="E11" s="20"/>
    </row>
    <row r="12" spans="1:5" ht="13.5">
      <c r="A12" s="126"/>
      <c r="B12" s="125" t="s">
        <v>114</v>
      </c>
      <c r="C12" s="8" t="s">
        <v>92</v>
      </c>
      <c r="D12" s="8" t="s">
        <v>93</v>
      </c>
      <c r="E12" s="19"/>
    </row>
    <row r="13" spans="1:5" ht="13.5">
      <c r="A13" s="126"/>
      <c r="B13" s="125"/>
      <c r="C13" s="8" t="s">
        <v>114</v>
      </c>
      <c r="D13" s="8" t="s">
        <v>116</v>
      </c>
      <c r="E13" s="19"/>
    </row>
    <row r="14" spans="1:5" s="3" customFormat="1" ht="13.5">
      <c r="A14" s="126"/>
      <c r="B14" s="31">
        <v>1000</v>
      </c>
      <c r="C14" s="11">
        <v>700</v>
      </c>
      <c r="D14" s="11">
        <v>590</v>
      </c>
      <c r="E14" s="33"/>
    </row>
    <row r="16" ht="13.5">
      <c r="A16" s="46" t="s">
        <v>165</v>
      </c>
    </row>
    <row r="17" spans="1:6" ht="13.5">
      <c r="A17" s="125" t="s">
        <v>105</v>
      </c>
      <c r="B17" s="125"/>
      <c r="C17" s="125"/>
      <c r="D17" s="125" t="s">
        <v>106</v>
      </c>
      <c r="E17" s="125"/>
      <c r="F17" s="125"/>
    </row>
    <row r="18" spans="1:6" s="7" customFormat="1" ht="13.5">
      <c r="A18" s="8" t="s">
        <v>98</v>
      </c>
      <c r="B18" s="8" t="s">
        <v>99</v>
      </c>
      <c r="C18" s="8" t="s">
        <v>100</v>
      </c>
      <c r="D18" s="8" t="s">
        <v>101</v>
      </c>
      <c r="E18" s="8" t="s">
        <v>84</v>
      </c>
      <c r="F18" s="8" t="s">
        <v>102</v>
      </c>
    </row>
    <row r="19" spans="1:6" s="30" customFormat="1" ht="27">
      <c r="A19" s="126" t="s">
        <v>104</v>
      </c>
      <c r="B19" s="126"/>
      <c r="C19" s="22" t="s">
        <v>109</v>
      </c>
      <c r="D19" s="22" t="s">
        <v>103</v>
      </c>
      <c r="E19" s="126" t="s">
        <v>108</v>
      </c>
      <c r="F19" s="126"/>
    </row>
    <row r="20" spans="1:6" s="3" customFormat="1" ht="13.5">
      <c r="A20" s="11">
        <v>810</v>
      </c>
      <c r="B20" s="11">
        <v>810</v>
      </c>
      <c r="C20" s="11">
        <v>30</v>
      </c>
      <c r="D20" s="11">
        <v>90</v>
      </c>
      <c r="E20" s="11">
        <v>80</v>
      </c>
      <c r="F20" s="11">
        <v>70</v>
      </c>
    </row>
    <row r="21" spans="1:6" s="3" customFormat="1" ht="13.5">
      <c r="A21" s="156" t="s">
        <v>107</v>
      </c>
      <c r="B21" s="156"/>
      <c r="C21" s="11">
        <v>810</v>
      </c>
      <c r="D21" s="23" t="s">
        <v>110</v>
      </c>
      <c r="E21" s="11">
        <f>D20*25</f>
        <v>2250</v>
      </c>
      <c r="F21" s="11">
        <f>E21+E20*100</f>
        <v>10250</v>
      </c>
    </row>
    <row r="22" ht="14.25" thickBot="1">
      <c r="H22" s="47" t="s">
        <v>174</v>
      </c>
    </row>
    <row r="23" spans="1:10" s="7" customFormat="1" ht="13.5">
      <c r="A23" s="125"/>
      <c r="B23" s="125"/>
      <c r="C23" s="42" t="s">
        <v>113</v>
      </c>
      <c r="D23" s="42" t="s">
        <v>117</v>
      </c>
      <c r="E23" s="56" t="s">
        <v>111</v>
      </c>
      <c r="F23" s="42" t="s">
        <v>112</v>
      </c>
      <c r="H23" s="48" t="s">
        <v>33</v>
      </c>
      <c r="I23" s="49" t="s">
        <v>160</v>
      </c>
      <c r="J23" s="50" t="s">
        <v>161</v>
      </c>
    </row>
    <row r="24" spans="1:11" ht="13.5">
      <c r="A24" s="153" t="s">
        <v>13</v>
      </c>
      <c r="B24" s="153"/>
      <c r="C24" s="15">
        <f>'機体諸元'!C4/1000</f>
        <v>0.884</v>
      </c>
      <c r="D24" s="23" t="s">
        <v>110</v>
      </c>
      <c r="E24" s="57">
        <f>B14</f>
        <v>1000</v>
      </c>
      <c r="F24" s="11">
        <f>A20</f>
        <v>810</v>
      </c>
      <c r="H24" s="51">
        <f>$H$8*C24</f>
        <v>106.08</v>
      </c>
      <c r="I24" s="11">
        <v>0</v>
      </c>
      <c r="J24" s="52">
        <f>H24+I24</f>
        <v>106.08</v>
      </c>
      <c r="K24" s="3"/>
    </row>
    <row r="25" spans="1:11" ht="13.5">
      <c r="A25" s="153" t="s">
        <v>166</v>
      </c>
      <c r="B25" s="153"/>
      <c r="C25" s="15">
        <f>'機体諸元'!C5/1000</f>
        <v>1.157</v>
      </c>
      <c r="D25" s="23" t="s">
        <v>110</v>
      </c>
      <c r="E25" s="57">
        <f>B14</f>
        <v>1000</v>
      </c>
      <c r="F25" s="11">
        <f>A20</f>
        <v>810</v>
      </c>
      <c r="H25" s="51">
        <f>$H$8*C25</f>
        <v>138.84</v>
      </c>
      <c r="I25" s="11">
        <v>0</v>
      </c>
      <c r="J25" s="52">
        <f>H25+I25</f>
        <v>138.84</v>
      </c>
      <c r="K25" s="3"/>
    </row>
    <row r="26" spans="1:11" ht="13.5">
      <c r="A26" s="153" t="s">
        <v>17</v>
      </c>
      <c r="B26" s="153"/>
      <c r="C26" s="15">
        <f>'機体諸元'!C7/1000</f>
        <v>4.58</v>
      </c>
      <c r="D26" s="23" t="s">
        <v>110</v>
      </c>
      <c r="E26" s="57">
        <f>B14</f>
        <v>1000</v>
      </c>
      <c r="F26" s="11">
        <f>A20</f>
        <v>810</v>
      </c>
      <c r="H26" s="51">
        <f>$H$8*C26</f>
        <v>549.6</v>
      </c>
      <c r="I26" s="11">
        <v>0</v>
      </c>
      <c r="J26" s="52">
        <f>H26+I26</f>
        <v>549.6</v>
      </c>
      <c r="K26" s="3"/>
    </row>
    <row r="27" spans="1:11" ht="13.5">
      <c r="A27" s="153"/>
      <c r="B27" s="153"/>
      <c r="C27" s="9"/>
      <c r="D27" s="9"/>
      <c r="E27" s="57"/>
      <c r="F27" s="9"/>
      <c r="H27" s="51"/>
      <c r="I27" s="11"/>
      <c r="J27" s="52"/>
      <c r="K27" s="3"/>
    </row>
    <row r="28" spans="1:11" ht="13.5">
      <c r="A28" s="154" t="s">
        <v>167</v>
      </c>
      <c r="B28" s="153"/>
      <c r="C28" s="9">
        <v>396.89</v>
      </c>
      <c r="D28" s="9"/>
      <c r="E28" s="57">
        <f>$E$9*C28+D28*$F$9</f>
        <v>654868.5</v>
      </c>
      <c r="F28" s="11">
        <f>$F$21+$F$20*(C28-100)</f>
        <v>31032.3</v>
      </c>
      <c r="H28" s="51">
        <f>$J$8*C28</f>
        <v>468330.2</v>
      </c>
      <c r="I28" s="11">
        <f>$O$8</f>
        <v>89000</v>
      </c>
      <c r="J28" s="52">
        <f>H28+I28</f>
        <v>557330.2</v>
      </c>
      <c r="K28" s="3"/>
    </row>
    <row r="29" spans="1:11" ht="13.5">
      <c r="A29" s="154" t="s">
        <v>26</v>
      </c>
      <c r="B29" s="153"/>
      <c r="C29" s="9">
        <v>79.01</v>
      </c>
      <c r="D29" s="9"/>
      <c r="E29" s="57">
        <f>$C$9*C29+D29*$F$9</f>
        <v>110614</v>
      </c>
      <c r="F29" s="11">
        <f>$E$21+$E$20*(C29-25)</f>
        <v>6570.8</v>
      </c>
      <c r="H29" s="51">
        <f>$J$8*C29</f>
        <v>93231.8</v>
      </c>
      <c r="I29" s="11">
        <f>$O$8</f>
        <v>89000</v>
      </c>
      <c r="J29" s="52">
        <f>H29+I29</f>
        <v>182231.8</v>
      </c>
      <c r="K29" s="3"/>
    </row>
    <row r="30" spans="1:11" ht="13.5">
      <c r="A30" s="154" t="s">
        <v>27</v>
      </c>
      <c r="B30" s="153"/>
      <c r="C30" s="9">
        <v>186.88</v>
      </c>
      <c r="D30" s="9"/>
      <c r="E30" s="57">
        <f>$D$9*C30+D30*$F$9</f>
        <v>289664</v>
      </c>
      <c r="F30" s="11">
        <f>$F$21+$F$20*(C30-100)</f>
        <v>16331.599999999999</v>
      </c>
      <c r="H30" s="51">
        <f>$J$8*C30</f>
        <v>220518.4</v>
      </c>
      <c r="I30" s="11">
        <f>$O$8</f>
        <v>89000</v>
      </c>
      <c r="J30" s="52">
        <f>H30+I30</f>
        <v>309518.4</v>
      </c>
      <c r="K30" s="3"/>
    </row>
    <row r="31" spans="1:11" ht="13.5">
      <c r="A31" s="154" t="s">
        <v>168</v>
      </c>
      <c r="B31" s="153"/>
      <c r="C31" s="9">
        <v>299.37</v>
      </c>
      <c r="D31" s="9"/>
      <c r="E31" s="57">
        <f>$E$9*C31+D31*$F$9</f>
        <v>493960.5</v>
      </c>
      <c r="F31" s="11">
        <f>$F$21+$F$20*(C31-100)</f>
        <v>24205.9</v>
      </c>
      <c r="H31" s="51">
        <f>$J$8*C31</f>
        <v>353256.6</v>
      </c>
      <c r="I31" s="11">
        <f>$O$8</f>
        <v>89000</v>
      </c>
      <c r="J31" s="52">
        <f>H31+I31</f>
        <v>442256.6</v>
      </c>
      <c r="K31" s="3"/>
    </row>
    <row r="32" spans="1:11" ht="14.25" thickBot="1">
      <c r="A32" s="154" t="s">
        <v>169</v>
      </c>
      <c r="B32" s="153"/>
      <c r="C32" s="9">
        <v>219.54</v>
      </c>
      <c r="D32" s="9"/>
      <c r="E32" s="57">
        <f>$E$9*C32+D32*$F$9</f>
        <v>362241</v>
      </c>
      <c r="F32" s="11">
        <f>$F$21+$F$20*(C32-100)</f>
        <v>18617.8</v>
      </c>
      <c r="H32" s="53">
        <f>$J$8*C32</f>
        <v>259057.19999999998</v>
      </c>
      <c r="I32" s="54">
        <f>$O$8</f>
        <v>89000</v>
      </c>
      <c r="J32" s="55">
        <f>H32+I32</f>
        <v>348057.19999999995</v>
      </c>
      <c r="K32" s="3"/>
    </row>
  </sheetData>
  <sheetProtection/>
  <mergeCells count="32">
    <mergeCell ref="I3:N3"/>
    <mergeCell ref="I5:K5"/>
    <mergeCell ref="L4:M4"/>
    <mergeCell ref="I4:K4"/>
    <mergeCell ref="L7:M7"/>
    <mergeCell ref="H2:N2"/>
    <mergeCell ref="A11:A14"/>
    <mergeCell ref="A21:B21"/>
    <mergeCell ref="A17:C17"/>
    <mergeCell ref="D17:F17"/>
    <mergeCell ref="O7:P7"/>
    <mergeCell ref="O3:P5"/>
    <mergeCell ref="H7:K7"/>
    <mergeCell ref="C11:D11"/>
    <mergeCell ref="B12:B13"/>
    <mergeCell ref="B8:E8"/>
    <mergeCell ref="O2:P2"/>
    <mergeCell ref="H3:H6"/>
    <mergeCell ref="N4:N6"/>
    <mergeCell ref="A7:A9"/>
    <mergeCell ref="E19:F19"/>
    <mergeCell ref="A32:B32"/>
    <mergeCell ref="A23:B23"/>
    <mergeCell ref="A24:B24"/>
    <mergeCell ref="A27:B27"/>
    <mergeCell ref="A28:B28"/>
    <mergeCell ref="A25:B25"/>
    <mergeCell ref="A19:B19"/>
    <mergeCell ref="A31:B31"/>
    <mergeCell ref="A29:B29"/>
    <mergeCell ref="A30:B30"/>
    <mergeCell ref="A26:B26"/>
  </mergeCells>
  <printOptions/>
  <pageMargins left="0.1968503937007874" right="0.1968503937007874" top="1.3779527559055118" bottom="0.984251968503937" header="0.5118110236220472" footer="0.5118110236220472"/>
  <pageSetup horizontalDpi="600" verticalDpi="600" orientation="landscape" paperSize="9" scale="90" r:id="rId1"/>
  <headerFooter alignWithMargins="0">
    <oddHeader>&amp;C&amp;"ＭＳ Ｐゴシック,太字"&amp;16&amp;A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="146" zoomScaleNormal="146" zoomScalePageLayoutView="0" workbookViewId="0" topLeftCell="A1">
      <selection activeCell="C21" sqref="C21"/>
    </sheetView>
  </sheetViews>
  <sheetFormatPr defaultColWidth="9.00390625" defaultRowHeight="13.5"/>
  <cols>
    <col min="2" max="2" width="16.875" style="0" customWidth="1"/>
    <col min="3" max="5" width="9.375" style="0" customWidth="1"/>
    <col min="6" max="6" width="8.875" style="0" customWidth="1"/>
    <col min="7" max="7" width="11.25390625" style="0" customWidth="1"/>
    <col min="8" max="8" width="8.875" style="0" customWidth="1"/>
    <col min="9" max="9" width="9.375" style="0" customWidth="1"/>
    <col min="10" max="10" width="9.625" style="0" customWidth="1"/>
  </cols>
  <sheetData>
    <row r="1" spans="1:9" ht="13.5">
      <c r="A1" s="126" t="s">
        <v>2</v>
      </c>
      <c r="B1" s="69" t="s">
        <v>47</v>
      </c>
      <c r="C1" s="107">
        <f>'諸元'!D14</f>
        <v>0.12</v>
      </c>
      <c r="D1" s="70" t="s">
        <v>123</v>
      </c>
      <c r="E1" s="71"/>
      <c r="F1" s="70"/>
      <c r="G1" s="70"/>
      <c r="H1" s="72"/>
      <c r="I1" s="72"/>
    </row>
    <row r="2" spans="1:9" ht="13.5">
      <c r="A2" s="126"/>
      <c r="B2" s="69" t="s">
        <v>119</v>
      </c>
      <c r="C2" s="107">
        <f>'諸元'!D15</f>
        <v>0.2</v>
      </c>
      <c r="D2" s="70" t="s">
        <v>124</v>
      </c>
      <c r="E2" s="71"/>
      <c r="F2" s="70"/>
      <c r="G2" s="70"/>
      <c r="H2" s="72"/>
      <c r="I2" s="72"/>
    </row>
    <row r="3" spans="1:9" ht="6" customHeight="1">
      <c r="A3" s="36"/>
      <c r="B3" s="68"/>
      <c r="C3" s="71"/>
      <c r="D3" s="71"/>
      <c r="E3" s="71"/>
      <c r="F3" s="72"/>
      <c r="G3" s="72"/>
      <c r="H3" s="72"/>
      <c r="I3" s="72"/>
    </row>
    <row r="4" spans="2:9" ht="13.5">
      <c r="B4" s="68"/>
      <c r="C4" s="160" t="s">
        <v>45</v>
      </c>
      <c r="D4" s="160"/>
      <c r="E4" s="160"/>
      <c r="F4" s="160"/>
      <c r="G4" s="160"/>
      <c r="H4" s="160"/>
      <c r="I4" s="160"/>
    </row>
    <row r="5" spans="2:9" s="37" customFormat="1" ht="13.5">
      <c r="B5" s="73"/>
      <c r="C5" s="74" t="s">
        <v>48</v>
      </c>
      <c r="D5" s="73" t="s">
        <v>122</v>
      </c>
      <c r="E5" s="73" t="s">
        <v>49</v>
      </c>
      <c r="F5" s="73" t="s">
        <v>119</v>
      </c>
      <c r="G5" s="75" t="s">
        <v>56</v>
      </c>
      <c r="H5" s="73" t="s">
        <v>51</v>
      </c>
      <c r="I5" s="76" t="s">
        <v>50</v>
      </c>
    </row>
    <row r="6" spans="2:9" ht="13.5">
      <c r="B6" s="69" t="s">
        <v>40</v>
      </c>
      <c r="C6" s="77">
        <v>10000000</v>
      </c>
      <c r="D6" s="78">
        <f>C6*$C$1*(1-$C$1)</f>
        <v>1056000</v>
      </c>
      <c r="E6" s="78">
        <f>C6+D6</f>
        <v>11056000</v>
      </c>
      <c r="F6" s="78">
        <f>E6*$C$2</f>
        <v>2211200</v>
      </c>
      <c r="G6" s="79">
        <f>E6+F6</f>
        <v>13267200</v>
      </c>
      <c r="H6" s="78">
        <v>800</v>
      </c>
      <c r="I6" s="80">
        <f>G6/H6</f>
        <v>16584</v>
      </c>
    </row>
    <row r="7" spans="2:9" ht="13.5">
      <c r="B7" s="69" t="s">
        <v>41</v>
      </c>
      <c r="C7" s="77">
        <v>10000000</v>
      </c>
      <c r="D7" s="78">
        <f>C7*$C$1*(1-$C$1)</f>
        <v>1056000</v>
      </c>
      <c r="E7" s="78">
        <f>C7+D7</f>
        <v>11056000</v>
      </c>
      <c r="F7" s="78">
        <f>E7*$C$2</f>
        <v>2211200</v>
      </c>
      <c r="G7" s="79">
        <f>E7+F7</f>
        <v>13267200</v>
      </c>
      <c r="H7" s="78">
        <v>800</v>
      </c>
      <c r="I7" s="80">
        <f>G7/H7</f>
        <v>16584</v>
      </c>
    </row>
    <row r="8" spans="2:9" ht="13.5">
      <c r="B8" s="69" t="s">
        <v>42</v>
      </c>
      <c r="C8" s="77">
        <v>10000000</v>
      </c>
      <c r="D8" s="78">
        <f>C8*$C$1*(1-$C$1)</f>
        <v>1056000</v>
      </c>
      <c r="E8" s="78">
        <f>C8+D8</f>
        <v>11056000</v>
      </c>
      <c r="F8" s="78">
        <f>E8*$C$2</f>
        <v>2211200</v>
      </c>
      <c r="G8" s="79">
        <f>E8+F8</f>
        <v>13267200</v>
      </c>
      <c r="H8" s="78">
        <v>800</v>
      </c>
      <c r="I8" s="80">
        <f>G8/H8</f>
        <v>16584</v>
      </c>
    </row>
    <row r="9" spans="2:9" ht="13.5">
      <c r="B9" s="69" t="s">
        <v>43</v>
      </c>
      <c r="C9" s="77">
        <v>15000000</v>
      </c>
      <c r="D9" s="78">
        <f>C9*$C$1*(1-$C$1)</f>
        <v>1584000</v>
      </c>
      <c r="E9" s="78">
        <f>C9+D9</f>
        <v>16584000</v>
      </c>
      <c r="F9" s="78">
        <f>E9*$C$2</f>
        <v>3316800</v>
      </c>
      <c r="G9" s="79">
        <f>E9+F9</f>
        <v>19900800</v>
      </c>
      <c r="H9" s="78">
        <v>800</v>
      </c>
      <c r="I9" s="80">
        <f>G9/H9</f>
        <v>24876</v>
      </c>
    </row>
    <row r="10" spans="2:9" ht="13.5">
      <c r="B10" s="69" t="s">
        <v>44</v>
      </c>
      <c r="C10" s="77">
        <v>15000000</v>
      </c>
      <c r="D10" s="78">
        <f>C10*$C$1*(1-$C$1)</f>
        <v>1584000</v>
      </c>
      <c r="E10" s="78">
        <f>C10+D10</f>
        <v>16584000</v>
      </c>
      <c r="F10" s="78">
        <f>E10*$C$2</f>
        <v>3316800</v>
      </c>
      <c r="G10" s="79">
        <f>E10+F10</f>
        <v>19900800</v>
      </c>
      <c r="H10" s="78">
        <v>800</v>
      </c>
      <c r="I10" s="80">
        <f>G10/H10</f>
        <v>24876</v>
      </c>
    </row>
    <row r="11" spans="2:9" ht="13.5">
      <c r="B11" s="68"/>
      <c r="C11" s="68"/>
      <c r="D11" s="68"/>
      <c r="E11" s="68"/>
      <c r="F11" s="68"/>
      <c r="G11" s="68"/>
      <c r="H11" s="68"/>
      <c r="I11" s="68"/>
    </row>
    <row r="12" spans="2:9" ht="13.5">
      <c r="B12" s="68"/>
      <c r="C12" s="160" t="s">
        <v>46</v>
      </c>
      <c r="D12" s="160"/>
      <c r="E12" s="161"/>
      <c r="F12" s="161"/>
      <c r="G12" s="161"/>
      <c r="H12" s="161"/>
      <c r="I12" s="161"/>
    </row>
    <row r="13" spans="2:9" ht="13.5">
      <c r="B13" s="69"/>
      <c r="C13" s="74" t="s">
        <v>48</v>
      </c>
      <c r="D13" s="73" t="s">
        <v>122</v>
      </c>
      <c r="E13" s="73" t="s">
        <v>49</v>
      </c>
      <c r="F13" s="73" t="s">
        <v>119</v>
      </c>
      <c r="G13" s="75" t="s">
        <v>56</v>
      </c>
      <c r="H13" s="73" t="s">
        <v>51</v>
      </c>
      <c r="I13" s="76" t="s">
        <v>50</v>
      </c>
    </row>
    <row r="14" spans="2:9" ht="13.5">
      <c r="B14" s="69" t="s">
        <v>40</v>
      </c>
      <c r="C14" s="77">
        <v>6000000</v>
      </c>
      <c r="D14" s="78">
        <f>C14*$C$1*(1-$C$1)</f>
        <v>633600</v>
      </c>
      <c r="E14" s="78">
        <f>C14+D14</f>
        <v>6633600</v>
      </c>
      <c r="F14" s="78">
        <f>E14*$C$2</f>
        <v>1326720</v>
      </c>
      <c r="G14" s="79">
        <f>E14+F14</f>
        <v>7960320</v>
      </c>
      <c r="H14" s="78">
        <f>1800*0.7</f>
        <v>1260</v>
      </c>
      <c r="I14" s="80">
        <f>G14/H14</f>
        <v>6317.714285714285</v>
      </c>
    </row>
    <row r="15" spans="2:9" ht="13.5">
      <c r="B15" s="69" t="s">
        <v>41</v>
      </c>
      <c r="C15" s="77">
        <v>6000000</v>
      </c>
      <c r="D15" s="78">
        <f>C15*$C$1*(1-$C$1)</f>
        <v>633600</v>
      </c>
      <c r="E15" s="78">
        <f>C15+D15</f>
        <v>6633600</v>
      </c>
      <c r="F15" s="78">
        <f>E15*$C$2</f>
        <v>1326720</v>
      </c>
      <c r="G15" s="79">
        <f>E15+F15</f>
        <v>7960320</v>
      </c>
      <c r="H15" s="78">
        <f>1800*0.7</f>
        <v>1260</v>
      </c>
      <c r="I15" s="80">
        <f>G15/H15</f>
        <v>6317.714285714285</v>
      </c>
    </row>
    <row r="16" spans="2:9" ht="13.5">
      <c r="B16" s="69" t="s">
        <v>42</v>
      </c>
      <c r="C16" s="77">
        <v>6000000</v>
      </c>
      <c r="D16" s="78">
        <f>C16*$C$1*(1-$C$1)</f>
        <v>633600</v>
      </c>
      <c r="E16" s="78">
        <f>C16+D16</f>
        <v>6633600</v>
      </c>
      <c r="F16" s="78">
        <f>E16*$C$2</f>
        <v>1326720</v>
      </c>
      <c r="G16" s="79">
        <f>E16+F16</f>
        <v>7960320</v>
      </c>
      <c r="H16" s="78">
        <f>1800*0.7</f>
        <v>1260</v>
      </c>
      <c r="I16" s="80">
        <f>G16/H16</f>
        <v>6317.714285714285</v>
      </c>
    </row>
    <row r="17" spans="2:9" ht="13.5">
      <c r="B17" s="69" t="s">
        <v>43</v>
      </c>
      <c r="C17" s="77">
        <v>9000000</v>
      </c>
      <c r="D17" s="78">
        <f>C17*$C$1*(1-$C$1)</f>
        <v>950400</v>
      </c>
      <c r="E17" s="78">
        <f>C17+D17</f>
        <v>9950400</v>
      </c>
      <c r="F17" s="78">
        <f>E17*$C$2</f>
        <v>1990080</v>
      </c>
      <c r="G17" s="79">
        <f>E17+F17</f>
        <v>11940480</v>
      </c>
      <c r="H17" s="78">
        <f>1800*0.7</f>
        <v>1260</v>
      </c>
      <c r="I17" s="80">
        <f>G17/H17</f>
        <v>9476.57142857143</v>
      </c>
    </row>
    <row r="18" spans="2:9" ht="13.5">
      <c r="B18" s="69" t="s">
        <v>44</v>
      </c>
      <c r="C18" s="77">
        <v>9000000</v>
      </c>
      <c r="D18" s="78">
        <f>C18*$C$1*(1-$C$1)</f>
        <v>950400</v>
      </c>
      <c r="E18" s="78">
        <f>C18+D18</f>
        <v>9950400</v>
      </c>
      <c r="F18" s="78">
        <f>E18*$C$2</f>
        <v>1990080</v>
      </c>
      <c r="G18" s="79">
        <f>E18+F18</f>
        <v>11940480</v>
      </c>
      <c r="H18" s="78">
        <f>1800*0.7</f>
        <v>1260</v>
      </c>
      <c r="I18" s="80">
        <f>G18/H18</f>
        <v>9476.57142857143</v>
      </c>
    </row>
  </sheetData>
  <sheetProtection/>
  <mergeCells count="3">
    <mergeCell ref="A1:A2"/>
    <mergeCell ref="C4:I4"/>
    <mergeCell ref="C12:I12"/>
  </mergeCells>
  <printOptions/>
  <pageMargins left="0.5905511811023623" right="0.3937007874015748" top="1.5748031496062993" bottom="0.984251968503937" header="0.5118110236220472" footer="0.5118110236220472"/>
  <pageSetup horizontalDpi="600" verticalDpi="600" orientation="landscape" paperSize="9" scale="140" r:id="rId1"/>
  <headerFooter alignWithMargins="0">
    <oddHeader>&amp;C&amp;"ＭＳ Ｐゴシック,太字"&amp;18&amp;A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16.75390625" style="0" customWidth="1"/>
    <col min="2" max="2" width="16.375" style="0" customWidth="1"/>
    <col min="3" max="3" width="1.25" style="0" customWidth="1"/>
    <col min="4" max="4" width="15.50390625" style="4" customWidth="1"/>
    <col min="5" max="5" width="15.00390625" style="4" customWidth="1"/>
    <col min="6" max="6" width="12.25390625" style="4" customWidth="1"/>
    <col min="7" max="7" width="13.25390625" style="4" customWidth="1"/>
    <col min="8" max="8" width="13.375" style="0" customWidth="1"/>
    <col min="9" max="9" width="1.25" style="0" customWidth="1"/>
    <col min="10" max="10" width="7.125" style="0" customWidth="1"/>
    <col min="12" max="12" width="17.75390625" style="0" customWidth="1"/>
    <col min="13" max="13" width="12.125" style="0" customWidth="1"/>
  </cols>
  <sheetData>
    <row r="1" ht="13.5">
      <c r="A1" s="1"/>
    </row>
    <row r="2" spans="1:7" ht="13.5" customHeight="1">
      <c r="A2" s="1"/>
      <c r="B2" s="125" t="s">
        <v>62</v>
      </c>
      <c r="D2" s="164" t="s">
        <v>66</v>
      </c>
      <c r="E2" s="12" t="s">
        <v>63</v>
      </c>
      <c r="F2" s="106">
        <f>'諸元'!D16</f>
        <v>0.08</v>
      </c>
      <c r="G2" s="38"/>
    </row>
    <row r="3" spans="1:7" ht="13.5">
      <c r="A3" s="1"/>
      <c r="B3" s="125"/>
      <c r="D3" s="165"/>
      <c r="E3" s="12" t="s">
        <v>64</v>
      </c>
      <c r="F3" s="106">
        <f>'諸元'!D17</f>
        <v>0.05</v>
      </c>
      <c r="G3" s="38"/>
    </row>
    <row r="4" ht="13.5">
      <c r="A4" s="1"/>
    </row>
    <row r="5" spans="1:13" ht="13.5">
      <c r="A5" s="1"/>
      <c r="D5" s="152" t="s">
        <v>75</v>
      </c>
      <c r="E5" s="152"/>
      <c r="F5" s="24" t="s">
        <v>73</v>
      </c>
      <c r="G5" s="27"/>
      <c r="J5" s="19"/>
      <c r="K5" s="19"/>
      <c r="L5" s="19"/>
      <c r="M5" s="19"/>
    </row>
    <row r="6" spans="1:13" ht="13.5">
      <c r="A6" s="8"/>
      <c r="B6" s="8" t="s">
        <v>0</v>
      </c>
      <c r="D6" s="24" t="s">
        <v>78</v>
      </c>
      <c r="E6" s="24" t="s">
        <v>77</v>
      </c>
      <c r="F6" s="24" t="s">
        <v>74</v>
      </c>
      <c r="G6" s="24" t="s">
        <v>178</v>
      </c>
      <c r="H6" s="58" t="s">
        <v>19</v>
      </c>
      <c r="J6" s="166"/>
      <c r="K6" s="162"/>
      <c r="L6" s="162"/>
      <c r="M6" s="81"/>
    </row>
    <row r="7" spans="1:13" ht="13.5">
      <c r="A7" s="130" t="s">
        <v>6</v>
      </c>
      <c r="B7" s="9" t="s">
        <v>13</v>
      </c>
      <c r="D7" s="12">
        <f>'機体諸元'!E4</f>
        <v>228000</v>
      </c>
      <c r="E7" s="12">
        <f>'機体諸元'!F4</f>
        <v>27132000</v>
      </c>
      <c r="F7" s="12">
        <f>'機体諸元'!H4</f>
        <v>1000</v>
      </c>
      <c r="G7" s="12">
        <f>E7*$F$2</f>
        <v>2170560</v>
      </c>
      <c r="H7" s="35">
        <f>G7/F7</f>
        <v>2170.56</v>
      </c>
      <c r="J7" s="166"/>
      <c r="K7" s="163"/>
      <c r="L7" s="19"/>
      <c r="M7" s="82"/>
    </row>
    <row r="8" spans="1:13" ht="13.5">
      <c r="A8" s="130"/>
      <c r="B8" s="9" t="s">
        <v>14</v>
      </c>
      <c r="D8" s="12">
        <f>'機体諸元'!E5</f>
        <v>53500</v>
      </c>
      <c r="E8" s="12">
        <f>'機体諸元'!F5</f>
        <v>6366500</v>
      </c>
      <c r="F8" s="12">
        <f>'機体諸元'!H5</f>
        <v>1000</v>
      </c>
      <c r="G8" s="12">
        <f>E8*$F$2</f>
        <v>509320</v>
      </c>
      <c r="H8" s="35">
        <f>G8/F8</f>
        <v>509.32</v>
      </c>
      <c r="J8" s="166"/>
      <c r="K8" s="163"/>
      <c r="L8" s="19"/>
      <c r="M8" s="19"/>
    </row>
    <row r="9" spans="1:13" ht="13.5">
      <c r="A9" s="9"/>
      <c r="B9" s="9"/>
      <c r="D9" s="12"/>
      <c r="E9" s="12"/>
      <c r="F9" s="12"/>
      <c r="G9" s="12"/>
      <c r="H9" s="12"/>
      <c r="J9" s="166"/>
      <c r="K9" s="163"/>
      <c r="L9" s="19"/>
      <c r="M9" s="19"/>
    </row>
    <row r="10" spans="1:13" ht="13.5">
      <c r="A10" s="146" t="s">
        <v>55</v>
      </c>
      <c r="B10" s="9" t="s">
        <v>17</v>
      </c>
      <c r="D10" s="12">
        <f>'機体諸元'!E7</f>
        <v>1725000</v>
      </c>
      <c r="E10" s="12">
        <f>'機体諸元'!F7</f>
        <v>205275000</v>
      </c>
      <c r="F10" s="12">
        <f>'機体諸元'!H7</f>
        <v>1000</v>
      </c>
      <c r="G10" s="12">
        <f>E10*$F$2</f>
        <v>16422000</v>
      </c>
      <c r="H10" s="35">
        <f>G10/F10</f>
        <v>16422</v>
      </c>
      <c r="J10" s="166"/>
      <c r="K10" s="163"/>
      <c r="L10" s="19"/>
      <c r="M10" s="81"/>
    </row>
    <row r="11" spans="1:13" ht="13.5">
      <c r="A11" s="147"/>
      <c r="B11" s="9" t="s">
        <v>53</v>
      </c>
      <c r="D11" s="12"/>
      <c r="E11" s="12"/>
      <c r="F11" s="12"/>
      <c r="G11" s="12"/>
      <c r="H11" s="12"/>
      <c r="J11" s="166"/>
      <c r="K11" s="163"/>
      <c r="L11" s="19"/>
      <c r="M11" s="83"/>
    </row>
    <row r="12" spans="1:13" ht="13.5">
      <c r="A12" s="9"/>
      <c r="B12" s="9"/>
      <c r="D12" s="12"/>
      <c r="E12" s="12"/>
      <c r="F12" s="12"/>
      <c r="G12" s="12"/>
      <c r="H12" s="12"/>
      <c r="J12" s="166"/>
      <c r="K12" s="163"/>
      <c r="L12" s="19"/>
      <c r="M12" s="83"/>
    </row>
    <row r="13" spans="1:13" ht="13.5">
      <c r="A13" s="130" t="s">
        <v>7</v>
      </c>
      <c r="B13" s="9"/>
      <c r="D13" s="12"/>
      <c r="E13" s="12"/>
      <c r="F13" s="12"/>
      <c r="G13" s="12"/>
      <c r="H13" s="12"/>
      <c r="J13" s="19"/>
      <c r="K13" s="19"/>
      <c r="L13" s="19"/>
      <c r="M13" s="19"/>
    </row>
    <row r="14" spans="1:8" ht="13.5">
      <c r="A14" s="130"/>
      <c r="B14" s="9"/>
      <c r="D14" s="12"/>
      <c r="E14" s="12"/>
      <c r="F14" s="12"/>
      <c r="G14" s="12"/>
      <c r="H14" s="12"/>
    </row>
    <row r="15" spans="1:8" ht="13.5">
      <c r="A15" s="9"/>
      <c r="B15" s="9"/>
      <c r="D15" s="12"/>
      <c r="E15" s="12"/>
      <c r="F15" s="12"/>
      <c r="G15" s="12"/>
      <c r="H15" s="12"/>
    </row>
    <row r="16" spans="1:8" ht="13.5">
      <c r="A16" s="130" t="s">
        <v>30</v>
      </c>
      <c r="B16" s="9" t="s">
        <v>28</v>
      </c>
      <c r="D16" s="12">
        <f>'機体諸元'!E10</f>
        <v>250000000</v>
      </c>
      <c r="E16" s="12">
        <f>'機体諸元'!F10</f>
        <v>29750000000</v>
      </c>
      <c r="F16" s="12">
        <f>'機体諸元'!H10</f>
        <v>3000</v>
      </c>
      <c r="G16" s="12">
        <f>E16*$F$2</f>
        <v>2380000000</v>
      </c>
      <c r="H16" s="35">
        <f>G16/F16</f>
        <v>793333.3333333334</v>
      </c>
    </row>
    <row r="17" spans="1:8" ht="13.5">
      <c r="A17" s="130"/>
      <c r="B17" s="9" t="s">
        <v>26</v>
      </c>
      <c r="D17" s="12">
        <f>'機体諸元'!E11</f>
        <v>80000000</v>
      </c>
      <c r="E17" s="12">
        <f>'機体諸元'!F11</f>
        <v>9520000000</v>
      </c>
      <c r="F17" s="12">
        <f>'機体諸元'!H11</f>
        <v>2000</v>
      </c>
      <c r="G17" s="12">
        <f>E17*$F$2</f>
        <v>761600000</v>
      </c>
      <c r="H17" s="35">
        <f>G17/F17</f>
        <v>380800</v>
      </c>
    </row>
    <row r="18" spans="1:8" ht="13.5">
      <c r="A18" s="130"/>
      <c r="B18" s="9" t="s">
        <v>27</v>
      </c>
      <c r="D18" s="12">
        <f>'機体諸元'!E12</f>
        <v>150000000</v>
      </c>
      <c r="E18" s="12">
        <f>'機体諸元'!F12</f>
        <v>17850000000</v>
      </c>
      <c r="F18" s="12">
        <f>'機体諸元'!H12</f>
        <v>2500</v>
      </c>
      <c r="G18" s="12">
        <f>E18*$F$2</f>
        <v>1428000000</v>
      </c>
      <c r="H18" s="35">
        <f>G18/F18</f>
        <v>571200</v>
      </c>
    </row>
    <row r="19" spans="1:8" ht="13.5">
      <c r="A19" s="130"/>
      <c r="B19" s="9" t="s">
        <v>25</v>
      </c>
      <c r="D19" s="12">
        <f>'機体諸元'!E13</f>
        <v>270000000</v>
      </c>
      <c r="E19" s="12">
        <f>'機体諸元'!F13</f>
        <v>32130000000</v>
      </c>
      <c r="F19" s="12">
        <f>'機体諸元'!H13</f>
        <v>2500</v>
      </c>
      <c r="G19" s="12">
        <f>E19*$F$2</f>
        <v>2570400000</v>
      </c>
      <c r="H19" s="35">
        <f>G19/F19</f>
        <v>1028160</v>
      </c>
    </row>
    <row r="20" spans="1:8" ht="13.5">
      <c r="A20" s="130"/>
      <c r="B20" s="9" t="s">
        <v>29</v>
      </c>
      <c r="D20" s="12">
        <f>'機体諸元'!E14</f>
        <v>165000000</v>
      </c>
      <c r="E20" s="12">
        <f>'機体諸元'!F14</f>
        <v>19635000000</v>
      </c>
      <c r="F20" s="12">
        <f>'機体諸元'!H14</f>
        <v>2500</v>
      </c>
      <c r="G20" s="12">
        <f>E20*$F$2</f>
        <v>1570800000</v>
      </c>
      <c r="H20" s="35">
        <f>G20/F20</f>
        <v>628320</v>
      </c>
    </row>
    <row r="21" ht="7.5" customHeight="1">
      <c r="H21" s="4"/>
    </row>
    <row r="22" spans="1:8" ht="27">
      <c r="A22" s="7"/>
      <c r="B22" s="7"/>
      <c r="H22" s="65" t="s">
        <v>170</v>
      </c>
    </row>
    <row r="23" spans="1:8" ht="13.5">
      <c r="A23" s="130" t="s">
        <v>54</v>
      </c>
      <c r="B23" s="8" t="s">
        <v>0</v>
      </c>
      <c r="D23" s="24" t="str">
        <f>'機体諸元'!E16</f>
        <v>C$/1台</v>
      </c>
      <c r="E23" s="24" t="str">
        <f>'機体諸元'!F16</f>
        <v>円/1台</v>
      </c>
      <c r="F23" s="24" t="s">
        <v>74</v>
      </c>
      <c r="G23" s="24" t="s">
        <v>178</v>
      </c>
      <c r="H23" s="58" t="s">
        <v>68</v>
      </c>
    </row>
    <row r="24" spans="1:8" ht="13.5">
      <c r="A24" s="130"/>
      <c r="B24" s="9" t="s">
        <v>72</v>
      </c>
      <c r="D24" s="12">
        <f>'機体諸元'!E17</f>
        <v>18000000</v>
      </c>
      <c r="E24" s="12">
        <f>'機体諸元'!F17</f>
        <v>1674000000</v>
      </c>
      <c r="F24" s="12">
        <f>'機体諸元'!H17</f>
        <v>4000</v>
      </c>
      <c r="G24" s="12">
        <f>E24*$F$2</f>
        <v>133920000</v>
      </c>
      <c r="H24" s="35">
        <f>G24/F24</f>
        <v>33480</v>
      </c>
    </row>
    <row r="25" spans="1:8" ht="13.5">
      <c r="A25" s="130"/>
      <c r="B25" s="9" t="s">
        <v>71</v>
      </c>
      <c r="D25" s="12">
        <f>'機体諸元'!E18</f>
        <v>11000000</v>
      </c>
      <c r="E25" s="12">
        <f>'機体諸元'!F18</f>
        <v>1023000000</v>
      </c>
      <c r="F25" s="12">
        <f>'機体諸元'!H18</f>
        <v>4000</v>
      </c>
      <c r="G25" s="12">
        <f>E25*$F$2</f>
        <v>81840000</v>
      </c>
      <c r="H25" s="35">
        <f>G25/F25</f>
        <v>20460</v>
      </c>
    </row>
    <row r="26" spans="1:8" ht="13.5">
      <c r="A26" s="130"/>
      <c r="B26" s="9" t="s">
        <v>138</v>
      </c>
      <c r="D26" s="12"/>
      <c r="E26" s="12">
        <f>'機体諸元'!F19</f>
        <v>2915550</v>
      </c>
      <c r="F26" s="12">
        <f>'機体諸元'!H19</f>
        <v>1000</v>
      </c>
      <c r="G26" s="12">
        <f>E26*$F$2</f>
        <v>233244</v>
      </c>
      <c r="H26" s="35">
        <f>G26/F26</f>
        <v>233.244</v>
      </c>
    </row>
    <row r="27" spans="1:8" ht="13.5">
      <c r="A27" s="130"/>
      <c r="B27" s="9" t="s">
        <v>139</v>
      </c>
      <c r="D27" s="12"/>
      <c r="E27" s="12">
        <f>'機体諸元'!F20</f>
        <v>22058437.5</v>
      </c>
      <c r="F27" s="12">
        <f>'機体諸元'!H20</f>
        <v>1000</v>
      </c>
      <c r="G27" s="12">
        <f>E27*$F$2</f>
        <v>1764675</v>
      </c>
      <c r="H27" s="35">
        <f>G27/F27</f>
        <v>1764.675</v>
      </c>
    </row>
  </sheetData>
  <sheetProtection/>
  <mergeCells count="12">
    <mergeCell ref="D2:D3"/>
    <mergeCell ref="B2:B3"/>
    <mergeCell ref="D5:E5"/>
    <mergeCell ref="J6:J12"/>
    <mergeCell ref="A23:A27"/>
    <mergeCell ref="K6:L6"/>
    <mergeCell ref="K7:K10"/>
    <mergeCell ref="K11:K12"/>
    <mergeCell ref="A7:A8"/>
    <mergeCell ref="A10:A11"/>
    <mergeCell ref="A13:A14"/>
    <mergeCell ref="A16:A20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125" r:id="rId1"/>
  <headerFooter alignWithMargins="0">
    <oddHeader>&amp;C&amp;"ＭＳ Ｐゴシック,太字"&amp;16&amp;A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N2" sqref="N2:N4"/>
    </sheetView>
  </sheetViews>
  <sheetFormatPr defaultColWidth="9.00390625" defaultRowHeight="13.5"/>
  <cols>
    <col min="1" max="1" width="16.75390625" style="0" customWidth="1"/>
    <col min="2" max="2" width="16.375" style="0" customWidth="1"/>
    <col min="3" max="3" width="1.00390625" style="0" customWidth="1"/>
    <col min="5" max="5" width="11.00390625" style="0" bestFit="1" customWidth="1"/>
    <col min="6" max="6" width="11.125" style="0" customWidth="1"/>
    <col min="7" max="7" width="1.25" style="0" customWidth="1"/>
    <col min="13" max="13" width="1.37890625" style="0" customWidth="1"/>
    <col min="14" max="14" width="8.50390625" style="0" customWidth="1"/>
  </cols>
  <sheetData>
    <row r="2" spans="4:14" ht="13.5">
      <c r="D2" s="172" t="s">
        <v>65</v>
      </c>
      <c r="E2" s="172"/>
      <c r="F2" s="173"/>
      <c r="H2" s="169" t="s">
        <v>11</v>
      </c>
      <c r="I2" s="9" t="s">
        <v>9</v>
      </c>
      <c r="J2" s="87">
        <f>'諸元'!D8</f>
        <v>119</v>
      </c>
      <c r="K2" s="6"/>
      <c r="N2" s="167" t="str">
        <f>'諸元'!G8</f>
        <v>日本の燃油税率（円/１ﾘｯﾄﾙ）</v>
      </c>
    </row>
    <row r="3" spans="1:14" ht="13.5">
      <c r="A3" s="1"/>
      <c r="D3" s="174" t="s">
        <v>121</v>
      </c>
      <c r="E3" s="175"/>
      <c r="F3" s="102" t="s">
        <v>120</v>
      </c>
      <c r="H3" s="170"/>
      <c r="I3" s="9" t="s">
        <v>69</v>
      </c>
      <c r="J3" s="87">
        <f>'諸元'!D9</f>
        <v>93</v>
      </c>
      <c r="K3" s="6"/>
      <c r="N3" s="168"/>
    </row>
    <row r="4" spans="1:14" ht="13.5">
      <c r="A4" s="8"/>
      <c r="B4" s="8" t="s">
        <v>0</v>
      </c>
      <c r="D4" s="94" t="s">
        <v>24</v>
      </c>
      <c r="E4" s="95" t="s">
        <v>177</v>
      </c>
      <c r="F4" s="95" t="s">
        <v>177</v>
      </c>
      <c r="H4" s="171"/>
      <c r="I4" s="9" t="s">
        <v>10</v>
      </c>
      <c r="J4" s="87">
        <f>'諸元'!D10</f>
        <v>131</v>
      </c>
      <c r="K4" s="6"/>
      <c r="L4" s="102" t="str">
        <f>'諸元'!F10</f>
        <v>単位</v>
      </c>
      <c r="N4" s="168"/>
    </row>
    <row r="5" spans="1:14" ht="13.5">
      <c r="A5" s="130" t="s">
        <v>6</v>
      </c>
      <c r="B5" s="9" t="s">
        <v>13</v>
      </c>
      <c r="D5" s="96">
        <v>10</v>
      </c>
      <c r="E5" s="97">
        <f>D5*$J$8*J6</f>
        <v>6997.2</v>
      </c>
      <c r="F5" s="98">
        <f>D5*$J$8*(J6+N6)</f>
        <v>7678.5</v>
      </c>
      <c r="H5" s="9" t="s">
        <v>21</v>
      </c>
      <c r="I5" s="9" t="s">
        <v>20</v>
      </c>
      <c r="J5" s="103">
        <f>'諸元'!D11</f>
        <v>156.19685534591196</v>
      </c>
      <c r="K5" s="90">
        <f>'諸元'!E11</f>
        <v>208.7</v>
      </c>
      <c r="L5" s="88" t="str">
        <f>'諸元'!F11</f>
        <v>USD/ﾊﾞﾚﾙ</v>
      </c>
      <c r="N5" s="93">
        <f>'諸元'!G11</f>
        <v>18</v>
      </c>
    </row>
    <row r="6" spans="1:14" ht="13.5" customHeight="1">
      <c r="A6" s="130"/>
      <c r="B6" s="9" t="s">
        <v>14</v>
      </c>
      <c r="D6" s="96">
        <v>9</v>
      </c>
      <c r="E6" s="97">
        <f>D6*$J$8*J6</f>
        <v>6297.48</v>
      </c>
      <c r="F6" s="98">
        <f>D6*$J$8*(J6+N6)</f>
        <v>6910.649999999999</v>
      </c>
      <c r="H6" s="9" t="s">
        <v>22</v>
      </c>
      <c r="I6" s="9" t="s">
        <v>23</v>
      </c>
      <c r="J6" s="103">
        <f>'諸元'!D12</f>
        <v>184.8665785997358</v>
      </c>
      <c r="K6" s="91">
        <f>'諸元'!E12</f>
        <v>5.88</v>
      </c>
      <c r="L6" s="88" t="str">
        <f>'諸元'!F12</f>
        <v>USD/ｶﾞﾛﾝ</v>
      </c>
      <c r="N6" s="93">
        <f>'諸元'!G12</f>
        <v>18</v>
      </c>
    </row>
    <row r="7" spans="1:6" ht="13.5">
      <c r="A7" s="9"/>
      <c r="B7" s="9"/>
      <c r="D7" s="96"/>
      <c r="E7" s="97"/>
      <c r="F7" s="98"/>
    </row>
    <row r="8" spans="1:10" ht="13.5">
      <c r="A8" s="168" t="s">
        <v>55</v>
      </c>
      <c r="B8" s="9" t="s">
        <v>17</v>
      </c>
      <c r="D8" s="96">
        <v>80</v>
      </c>
      <c r="E8" s="97">
        <f>D8*$J$8*J5</f>
        <v>47296.40779874214</v>
      </c>
      <c r="F8" s="98">
        <f>D8*$J$8*(J5+N5)</f>
        <v>52746.80779874214</v>
      </c>
      <c r="H8" s="104"/>
      <c r="I8" s="105" t="s">
        <v>186</v>
      </c>
      <c r="J8" s="87">
        <v>3.785</v>
      </c>
    </row>
    <row r="9" spans="1:6" ht="13.5">
      <c r="A9" s="168"/>
      <c r="B9" s="9" t="s">
        <v>53</v>
      </c>
      <c r="D9" s="96"/>
      <c r="E9" s="97"/>
      <c r="F9" s="98"/>
    </row>
    <row r="10" spans="1:6" ht="5.25" customHeight="1">
      <c r="A10" s="19"/>
      <c r="B10" s="19"/>
      <c r="C10" s="19"/>
      <c r="D10" s="99"/>
      <c r="E10" s="100"/>
      <c r="F10" s="101"/>
    </row>
    <row r="11" spans="1:6" ht="13.5">
      <c r="A11" s="130" t="s">
        <v>30</v>
      </c>
      <c r="B11" s="9" t="s">
        <v>28</v>
      </c>
      <c r="C11" s="9"/>
      <c r="D11" s="96">
        <v>4473.9</v>
      </c>
      <c r="E11" s="97">
        <f>D11*$J$8*$J$5</f>
        <v>2644992.4856349053</v>
      </c>
      <c r="F11" s="98">
        <f>D11*$J$8*($J$5+$N$5)</f>
        <v>2949799.2926349053</v>
      </c>
    </row>
    <row r="12" spans="1:6" ht="13.5">
      <c r="A12" s="130"/>
      <c r="B12" s="9" t="s">
        <v>26</v>
      </c>
      <c r="C12" s="9"/>
      <c r="D12" s="96">
        <v>1168.3</v>
      </c>
      <c r="E12" s="97">
        <f>D12*$J$8*$J$5</f>
        <v>690704.9153908805</v>
      </c>
      <c r="F12" s="98">
        <f>D12*$J$8*($J$5+$N$5)</f>
        <v>770301.1943908806</v>
      </c>
    </row>
    <row r="13" spans="1:6" ht="13.5">
      <c r="A13" s="130"/>
      <c r="B13" s="9" t="s">
        <v>27</v>
      </c>
      <c r="C13" s="9"/>
      <c r="D13" s="96">
        <v>2121.8</v>
      </c>
      <c r="E13" s="97">
        <f>D13*$J$8*$J$5</f>
        <v>1254418.9758421385</v>
      </c>
      <c r="F13" s="98">
        <f>D13*$J$8*($J$5+$N$5)</f>
        <v>1398977.2098421385</v>
      </c>
    </row>
    <row r="14" spans="1:11" ht="13.5">
      <c r="A14" s="130"/>
      <c r="B14" s="9" t="s">
        <v>25</v>
      </c>
      <c r="C14" s="9"/>
      <c r="D14" s="96">
        <v>4183.7</v>
      </c>
      <c r="E14" s="97">
        <f>D14*$J$8*$J$5</f>
        <v>2473424.7663449687</v>
      </c>
      <c r="F14" s="98">
        <f>D14*$J$8*($J$5+$N$5)</f>
        <v>2758460.247344969</v>
      </c>
      <c r="K14" s="67"/>
    </row>
    <row r="15" spans="1:6" ht="13.5">
      <c r="A15" s="130"/>
      <c r="B15" s="9" t="s">
        <v>29</v>
      </c>
      <c r="C15" s="9"/>
      <c r="D15" s="96">
        <v>2000</v>
      </c>
      <c r="E15" s="97">
        <f>D15*$J$8*$J$5</f>
        <v>1182410.1949685535</v>
      </c>
      <c r="F15" s="98">
        <f>D15*$J$8*($J$5+$N$5)</f>
        <v>1318670.1949685535</v>
      </c>
    </row>
  </sheetData>
  <sheetProtection/>
  <mergeCells count="7">
    <mergeCell ref="N2:N4"/>
    <mergeCell ref="A5:A6"/>
    <mergeCell ref="A8:A9"/>
    <mergeCell ref="A11:A15"/>
    <mergeCell ref="H2:H4"/>
    <mergeCell ref="D2:F2"/>
    <mergeCell ref="D3:E3"/>
  </mergeCells>
  <printOptions/>
  <pageMargins left="0.3937007874015748" right="0.1968503937007874" top="1.5748031496062993" bottom="0.984251968503937" header="0.5118110236220472" footer="0.5118110236220472"/>
  <pageSetup horizontalDpi="600" verticalDpi="600" orientation="landscape" paperSize="9" scale="115" r:id="rId1"/>
  <headerFooter alignWithMargins="0">
    <oddHeader>&amp;C&amp;"ＭＳ Ｐゴシック,太字"&amp;16&amp;A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H20"/>
  <sheetViews>
    <sheetView zoomScalePageLayoutView="0" workbookViewId="0" topLeftCell="A1">
      <selection activeCell="F12" sqref="F12"/>
    </sheetView>
  </sheetViews>
  <sheetFormatPr defaultColWidth="9.00390625" defaultRowHeight="13.5"/>
  <cols>
    <col min="2" max="2" width="13.375" style="0" customWidth="1"/>
    <col min="3" max="3" width="18.00390625" style="3" customWidth="1"/>
    <col min="4" max="4" width="1.75390625" style="0" customWidth="1"/>
    <col min="5" max="5" width="13.125" style="0" customWidth="1"/>
    <col min="6" max="6" width="14.75390625" style="0" customWidth="1"/>
    <col min="7" max="7" width="1.625" style="0" customWidth="1"/>
    <col min="8" max="8" width="13.375" style="0" customWidth="1"/>
  </cols>
  <sheetData>
    <row r="2" spans="5:8" ht="13.5">
      <c r="E2" s="152" t="s">
        <v>75</v>
      </c>
      <c r="F2" s="152"/>
      <c r="H2" s="24" t="s">
        <v>73</v>
      </c>
    </row>
    <row r="3" spans="2:8" ht="13.5">
      <c r="B3" t="s">
        <v>52</v>
      </c>
      <c r="C3" s="18" t="s">
        <v>173</v>
      </c>
      <c r="E3" s="8" t="s">
        <v>78</v>
      </c>
      <c r="F3" s="8" t="s">
        <v>77</v>
      </c>
      <c r="H3" s="8" t="s">
        <v>74</v>
      </c>
    </row>
    <row r="4" spans="2:8" ht="13.5">
      <c r="B4" s="9" t="s">
        <v>13</v>
      </c>
      <c r="C4" s="11">
        <v>884</v>
      </c>
      <c r="E4" s="12">
        <v>228000</v>
      </c>
      <c r="F4" s="12">
        <f>E4*'諸元'!$D$8</f>
        <v>27132000</v>
      </c>
      <c r="H4" s="12">
        <v>1000</v>
      </c>
    </row>
    <row r="5" spans="2:8" ht="13.5">
      <c r="B5" s="9" t="s">
        <v>14</v>
      </c>
      <c r="C5" s="11">
        <v>1157</v>
      </c>
      <c r="E5" s="12">
        <v>53500</v>
      </c>
      <c r="F5" s="12">
        <f>E5*'諸元'!$D$8</f>
        <v>6366500</v>
      </c>
      <c r="H5" s="12">
        <v>1000</v>
      </c>
    </row>
    <row r="6" spans="5:8" ht="13.5">
      <c r="E6" s="21"/>
      <c r="F6" s="21"/>
      <c r="H6" s="9"/>
    </row>
    <row r="7" spans="2:8" ht="13.5">
      <c r="B7" s="9" t="s">
        <v>17</v>
      </c>
      <c r="C7" s="11">
        <v>4580</v>
      </c>
      <c r="E7" s="12">
        <v>1725000</v>
      </c>
      <c r="F7" s="12">
        <f>E7*'諸元'!$D$8</f>
        <v>205275000</v>
      </c>
      <c r="H7" s="12">
        <v>1000</v>
      </c>
    </row>
    <row r="8" spans="2:8" ht="13.5">
      <c r="B8" s="9" t="s">
        <v>53</v>
      </c>
      <c r="C8" s="11">
        <v>1655</v>
      </c>
      <c r="E8" s="12"/>
      <c r="F8" s="12"/>
      <c r="H8" s="9"/>
    </row>
    <row r="9" spans="5:8" ht="13.5">
      <c r="E9" s="21"/>
      <c r="F9" s="21"/>
      <c r="H9" s="19"/>
    </row>
    <row r="10" spans="2:8" ht="13.5">
      <c r="B10" s="9" t="s">
        <v>28</v>
      </c>
      <c r="C10" s="11">
        <v>396890</v>
      </c>
      <c r="E10" s="12">
        <v>250000000</v>
      </c>
      <c r="F10" s="12">
        <f>E10*'諸元'!$D$8</f>
        <v>29750000000</v>
      </c>
      <c r="H10" s="12">
        <v>3000</v>
      </c>
    </row>
    <row r="11" spans="2:8" ht="13.5">
      <c r="B11" s="9" t="s">
        <v>26</v>
      </c>
      <c r="C11" s="11">
        <v>79010</v>
      </c>
      <c r="E11" s="12">
        <v>80000000</v>
      </c>
      <c r="F11" s="12">
        <f>E11*'諸元'!$D$8</f>
        <v>9520000000</v>
      </c>
      <c r="H11" s="12">
        <v>2000</v>
      </c>
    </row>
    <row r="12" spans="2:8" ht="13.5">
      <c r="B12" s="9" t="s">
        <v>27</v>
      </c>
      <c r="C12" s="11">
        <v>186880</v>
      </c>
      <c r="E12" s="12">
        <v>150000000</v>
      </c>
      <c r="F12" s="12">
        <f>E12*'諸元'!$D$8</f>
        <v>17850000000</v>
      </c>
      <c r="H12" s="12">
        <v>2500</v>
      </c>
    </row>
    <row r="13" spans="2:8" ht="13.5">
      <c r="B13" s="9" t="s">
        <v>25</v>
      </c>
      <c r="C13" s="11">
        <v>299370</v>
      </c>
      <c r="E13" s="12">
        <v>270000000</v>
      </c>
      <c r="F13" s="12">
        <f>E13*'諸元'!$D$8</f>
        <v>32130000000</v>
      </c>
      <c r="H13" s="12">
        <v>2500</v>
      </c>
    </row>
    <row r="14" spans="2:8" ht="13.5">
      <c r="B14" s="9" t="s">
        <v>29</v>
      </c>
      <c r="C14" s="11">
        <v>219540</v>
      </c>
      <c r="E14" s="12">
        <v>165000000</v>
      </c>
      <c r="F14" s="12">
        <f>E14*'諸元'!$D$8</f>
        <v>19635000000</v>
      </c>
      <c r="H14" s="12">
        <v>2500</v>
      </c>
    </row>
    <row r="16" spans="3:8" ht="13.5">
      <c r="C16" s="8" t="s">
        <v>64</v>
      </c>
      <c r="E16" s="8" t="s">
        <v>76</v>
      </c>
      <c r="F16" s="8" t="s">
        <v>77</v>
      </c>
      <c r="H16" s="8" t="s">
        <v>74</v>
      </c>
    </row>
    <row r="17" spans="3:8" ht="13.5">
      <c r="C17" s="9" t="s">
        <v>72</v>
      </c>
      <c r="E17" s="12">
        <v>18000000</v>
      </c>
      <c r="F17" s="12">
        <f>E17*'諸元'!$D$9</f>
        <v>1674000000</v>
      </c>
      <c r="H17" s="12">
        <v>4000</v>
      </c>
    </row>
    <row r="18" spans="3:8" ht="13.5">
      <c r="C18" s="9" t="s">
        <v>71</v>
      </c>
      <c r="E18" s="12">
        <v>11000000</v>
      </c>
      <c r="F18" s="12">
        <f>E18*'諸元'!$D$9</f>
        <v>1023000000</v>
      </c>
      <c r="H18" s="12">
        <v>4000</v>
      </c>
    </row>
    <row r="19" spans="3:8" ht="13.5">
      <c r="C19" s="9" t="s">
        <v>138</v>
      </c>
      <c r="E19" s="12"/>
      <c r="F19" s="12">
        <f>F4*F18/F11</f>
        <v>2915550</v>
      </c>
      <c r="H19" s="12">
        <v>1000</v>
      </c>
    </row>
    <row r="20" spans="3:8" ht="13.5">
      <c r="C20" s="9" t="s">
        <v>139</v>
      </c>
      <c r="E20" s="12"/>
      <c r="F20" s="12">
        <f>F7*F18/F11</f>
        <v>22058437.5</v>
      </c>
      <c r="H20" s="12">
        <v>1000</v>
      </c>
    </row>
  </sheetData>
  <sheetProtection/>
  <mergeCells count="1">
    <mergeCell ref="E2:F2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landscape" paperSize="9" scale="17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自家用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</dc:creator>
  <cp:keywords/>
  <dc:description/>
  <cp:lastModifiedBy>Adiministrator</cp:lastModifiedBy>
  <cp:lastPrinted>2015-04-06T04:02:32Z</cp:lastPrinted>
  <dcterms:created xsi:type="dcterms:W3CDTF">2009-06-15T08:16:05Z</dcterms:created>
  <dcterms:modified xsi:type="dcterms:W3CDTF">2019-09-30T10:31:42Z</dcterms:modified>
  <cp:category/>
  <cp:version/>
  <cp:contentType/>
  <cp:contentStatus/>
</cp:coreProperties>
</file>